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L:\IA\POOL\www\docs\data\economics\hccis\docs\"/>
    </mc:Choice>
  </mc:AlternateContent>
  <xr:revisionPtr revIDLastSave="0" documentId="13_ncr:1_{65DBB933-7FCF-4BEE-9DA8-BEFEB4EDC3AE}" xr6:coauthVersionLast="47" xr6:coauthVersionMax="47" xr10:uidLastSave="{00000000-0000-0000-0000-000000000000}"/>
  <workbookProtection lockStructure="1"/>
  <bookViews>
    <workbookView xWindow="28680" yWindow="-120" windowWidth="29040" windowHeight="15840" tabRatio="901" firstSheet="3" activeTab="3" xr2:uid="{00000000-000D-0000-FFFF-FFFF00000000}"/>
  </bookViews>
  <sheets>
    <sheet name="demog check" sheetId="16" state="hidden" r:id="rId1"/>
    <sheet name="accred check" sheetId="21" state="hidden" r:id="rId2"/>
    <sheet name="load script" sheetId="7" state="hidden" r:id="rId3"/>
    <sheet name="Tip_Sheet" sheetId="6" r:id="rId4"/>
    <sheet name="Demog Contact" sheetId="4" r:id="rId5"/>
    <sheet name="Demog Contact (2)" sheetId="17" state="hidden" r:id="rId6"/>
    <sheet name="AccredExpl" sheetId="18" r:id="rId7"/>
    <sheet name="Accred (2)" sheetId="20" state="hidden" r:id="rId8"/>
    <sheet name="Fixed Equip" sheetId="11" r:id="rId9"/>
    <sheet name="Portable Equip" sheetId="10" r:id="rId10"/>
    <sheet name="Mobile Equip" sheetId="9" r:id="rId11"/>
    <sheet name="Leased Equip" sheetId="13" r:id="rId12"/>
    <sheet name="Mobile Locations" sheetId="12" r:id="rId13"/>
    <sheet name="Economic Interest" sheetId="2" r:id="rId14"/>
    <sheet name="Capital Expenditures" sheetId="8" r:id="rId15"/>
    <sheet name="Capital Expend Project Specific" sheetId="24" r:id="rId16"/>
    <sheet name="Definitions" sheetId="3" r:id="rId17"/>
    <sheet name="HCCIS_ID" sheetId="5" r:id="rId18"/>
    <sheet name="CapExpData" sheetId="23" state="hidden" r:id="rId19"/>
  </sheets>
  <definedNames>
    <definedName name="_xlnm._FilterDatabase" localSheetId="17" hidden="1">HCCIS_ID!$A$2:$FE$345</definedName>
    <definedName name="accreditation">AccredExpl!$A$2</definedName>
    <definedName name="cap_exp_contact">'Demog Contact'!$A$58</definedName>
    <definedName name="cap_exp_errors">'Capital Expenditures'!$A$26</definedName>
    <definedName name="code_7594">'Capital Expenditures'!$J$5</definedName>
    <definedName name="code_7595">'Capital Expenditures'!$J$6</definedName>
    <definedName name="code_7596">'Capital Expenditures'!$J$7</definedName>
    <definedName name="def_cap_exp">Definitions!$A$15</definedName>
    <definedName name="def_date_spend_commit">Definitions!$A$16</definedName>
    <definedName name="def_econ_interest">Definitions!$A$10</definedName>
    <definedName name="def_exceptions">Definitions!$A$21</definedName>
    <definedName name="def_fixed">Definitions!$A$11</definedName>
    <definedName name="def_mobile">Definitions!$A$13</definedName>
    <definedName name="def_portable">Definitions!$A$12</definedName>
    <definedName name="def_prov_di">Definitions!$A$3</definedName>
    <definedName name="definitions">Definitions!$A$1</definedName>
    <definedName name="defs_NPI">Definitions!$A$6</definedName>
    <definedName name="demograpic">'Demog Contact'!$D$6</definedName>
    <definedName name="economic_interest">'Economic Interest'!$C$2</definedName>
    <definedName name="find_lease_entity">HCCIS_ID!$EV$2</definedName>
    <definedName name="fixed">'Fixed Equip'!$A$2</definedName>
    <definedName name="HCCIS_ID_list">HCCIS_ID!$A$2</definedName>
    <definedName name="ID_list">HCCIS_ID!$A$3:$EQ$346</definedName>
    <definedName name="lease_detail">'Leased Equip'!$A$2</definedName>
    <definedName name="lease_id">'Leased Equip'!$J$4</definedName>
    <definedName name="lease_id_list">HCCIS_ID!$EV$3:$FB$666</definedName>
    <definedName name="mobile">'Mobile Equip'!$A$2</definedName>
    <definedName name="mobile_locations">'Mobile Locations'!$E$2</definedName>
    <definedName name="NPI">'Demog Contact'!$I$6</definedName>
    <definedName name="portable">'Portable Equip'!$A$2</definedName>
    <definedName name="_xlnm.Print_Area" localSheetId="1">'accred check'!$A$1:$I$47</definedName>
    <definedName name="_xlnm.Print_Area" localSheetId="6">AccredExpl!$A$1:$K$38</definedName>
    <definedName name="_xlnm.Print_Area" localSheetId="15">'Capital Expend Project Specific'!$A$1:$Q$519</definedName>
    <definedName name="_xlnm.Print_Area" localSheetId="14">'Capital Expenditures'!$A$1:$P$23</definedName>
    <definedName name="_xlnm.Print_Area" localSheetId="16">Definitions!$A$1:$C$21</definedName>
    <definedName name="_xlnm.Print_Area" localSheetId="0">'demog check'!$A$1:$K$74</definedName>
    <definedName name="_xlnm.Print_Area" localSheetId="4">'Demog Contact'!$A$1:$K$65</definedName>
    <definedName name="_xlnm.Print_Area" localSheetId="5">'Demog Contact (2)'!$A$1:$K$65</definedName>
    <definedName name="_xlnm.Print_Area" localSheetId="13">'Economic Interest'!$C$1:$H$39</definedName>
    <definedName name="_xlnm.Print_Area" localSheetId="8">'Fixed Equip'!$A$1:$S$33</definedName>
    <definedName name="_xlnm.Print_Area" localSheetId="17">HCCIS_ID!$A$1:$C$345,HCCIS_ID!$EV$1:$FB$666</definedName>
    <definedName name="_xlnm.Print_Area" localSheetId="11">'Leased Equip'!$A$1:$W$48</definedName>
    <definedName name="_xlnm.Print_Area" localSheetId="10">'Mobile Equip'!$A$1:$S$34</definedName>
    <definedName name="_xlnm.Print_Area" localSheetId="12">'Mobile Locations'!$E$1:$V$48</definedName>
    <definedName name="_xlnm.Print_Area" localSheetId="9">'Portable Equip'!$A$1:$S$33</definedName>
    <definedName name="_xlnm.Print_Area" localSheetId="3">Tip_Sheet!$A$1:$K$20</definedName>
    <definedName name="_xlnm.Print_Titles" localSheetId="17">HCCIS_ID!$1:$2</definedName>
    <definedName name="Section_13">'Capital Expenditures'!$A$2</definedName>
    <definedName name="Section_14">'Capital Expenditures'!$A$9</definedName>
    <definedName name="Section_15" localSheetId="15">'Capital Expend Project Specific'!$A$2</definedName>
    <definedName name="Section_2">'Fixed Equip'!$A$21</definedName>
    <definedName name="Section_3">'Fixed Equip'!$A$26</definedName>
    <definedName name="Section_5">'Portable Equip'!$A$21</definedName>
    <definedName name="Section_6">'Portable Equip'!$A$26</definedName>
    <definedName name="Section_8">'Mobile Equip'!$A$21</definedName>
    <definedName name="Section_9">'Mobile Equip'!$A$26</definedName>
    <definedName name="start">'Demog Contact'!$D$5</definedName>
    <definedName name="text_01">AccredExpl!$C$24</definedName>
    <definedName name="text_02">AccredExpl!$C$25</definedName>
    <definedName name="text_03">AccredExpl!$C$26</definedName>
    <definedName name="text_04">AccredExpl!$C$27</definedName>
    <definedName name="text_05">AccredExpl!$C$28</definedName>
    <definedName name="text_06">AccredExpl!$C$29</definedName>
    <definedName name="text_07">AccredExpl!$C$30</definedName>
    <definedName name="text_08">AccredExpl!$C$31</definedName>
    <definedName name="text_09">AccredExpl!$C$32</definedName>
    <definedName name="text_10">AccredExpl!$C$33</definedName>
    <definedName name="text_11">AccredExpl!$C$34</definedName>
    <definedName name="text_12">AccredExpl!$C$35</definedName>
    <definedName name="text_13">AccredExpl!$C$36</definedName>
    <definedName name="text_14">AccredExpl!$C$37</definedName>
    <definedName name="text_15">AccredExpl!$C$38</definedName>
    <definedName name="text_accred">AccredExpl!$C$23</definedName>
    <definedName name="TitleRegion1.a1.c22.12">Definitions!$A$1</definedName>
    <definedName name="TitleRegion1.a1.c345.13">HCCIS_ID!$A$1</definedName>
    <definedName name="TitleRegion1.a1.k16.1">Tip_Sheet!$A$1</definedName>
    <definedName name="TitleRegion1.a1.o24.2">'Demog Contact'!$A$1</definedName>
    <definedName name="TitleRegion1.a1.r46.11">'Capital Expend Project Specific'!$A$2</definedName>
    <definedName name="TitleRegion1.a2.n18.3">AccredExpl!$A$2</definedName>
    <definedName name="TitleRegion1.a2.p8.10">'Capital Expenditures'!$A$2</definedName>
    <definedName name="TitleRegion1.a2.w20.4">'Fixed Equip'!$A$2</definedName>
    <definedName name="TitleRegion1.a2.w20.5">'Portable Equip'!$A$2</definedName>
    <definedName name="TitleRegion1.a2.w20.6">'Mobile Equip'!$A$2</definedName>
    <definedName name="TitleRegion1.a2.w49.7">'Leased Equip'!$A$2</definedName>
    <definedName name="TitleRegion1.c2.h39.9">'Economic Interest'!$C$2</definedName>
    <definedName name="TitleRegion1.e2.v49.8">'Mobile Locations'!$E$2</definedName>
    <definedName name="TitleRegion10.a391.r433.11">'Capital Expend Project Specific'!$A$392</definedName>
    <definedName name="TitleRegion11.a434.r476.11">'Capital Expend Project Specific'!$A$435</definedName>
    <definedName name="TitleRegion12.a477.r520.11">'Capital Expend Project Specific'!$A$478</definedName>
    <definedName name="TitleRegion2.a20.n39.3">AccredExpl!$A$20</definedName>
    <definedName name="TitleRegion2.a21.w24.5">'Portable Equip'!$A$21</definedName>
    <definedName name="TitleRegion2.a21.w25.4">'Fixed Equip'!$A$21</definedName>
    <definedName name="TitleRegion2.a21.w25.6">'Mobile Equip'!$A$21</definedName>
    <definedName name="TitleRegion2.a25.o31.2">'Demog Contact'!$A$25</definedName>
    <definedName name="TitleRegion2.a47.r89.11">'Capital Expend Project Specific'!$A$48</definedName>
    <definedName name="TitleRegion2.a9.p27.10">'Capital Expenditures'!$A$9</definedName>
    <definedName name="TitleRegion2.ev1.fb666.13">HCCIS_ID!$EV$1</definedName>
    <definedName name="TitleRegion3.a26.w35.4">'Fixed Equip'!$A$26</definedName>
    <definedName name="TitleRegion3.a26.w35.5">'Portable Equip'!$A$26</definedName>
    <definedName name="TitleRegion3.a26.w36.6">'Mobile Equip'!$A$26</definedName>
    <definedName name="TitleRegion3.a33.o66.2">'Demog Contact'!$A$33</definedName>
    <definedName name="TitleRegion3.a90.r132.11">'Capital Expend Project Specific'!$A$91</definedName>
    <definedName name="TitleRegion4.a133.r175.11">'Capital Expend Project Specific'!$A$134</definedName>
    <definedName name="TitleRegion5.a176.r218.11">'Capital Expend Project Specific'!$A$177</definedName>
    <definedName name="TitleRegion6.a219.r261.11">'Capital Expend Project Specific'!$A$220</definedName>
    <definedName name="TitleRegion7.a262.r304.11">'Capital Expend Project Specific'!$A$263</definedName>
    <definedName name="TitleRegion8.a305.ar347.11">'Capital Expend Project Specific'!$A$306</definedName>
    <definedName name="TitleRegion9.a348.r390.11">'Capital Expend Project Specific'!$A$349</definedName>
    <definedName name="ValidCapacity">CapExpData!$B$15:$B$16</definedName>
    <definedName name="ValidEvidence">CapExpData!$B$31:$B$32</definedName>
    <definedName name="ValidImpact">CapExpData!$B$27:$B$28</definedName>
    <definedName name="ValidPriorCap">CapExpData!$B$19:$B$22</definedName>
    <definedName name="ValidProjType">CapExpData!$E$5:$E$9</definedName>
    <definedName name="ValidRemote">CapExpData!$B$11:$B$12</definedName>
    <definedName name="ValidSubtype1">CapExpData!$G$5:$G$10</definedName>
    <definedName name="ValidSubtype2">CapExpData!$G$15:$G$41</definedName>
    <definedName name="ValidSubtype3">CapExpData!$I$5:$I$31</definedName>
    <definedName name="VCapacity">CapExpData!$B$15:$C$16</definedName>
    <definedName name="VEvidence">CapExpData!$B$31:$C$32</definedName>
    <definedName name="VImpact">CapExpData!$B$27:$C$28</definedName>
    <definedName name="VPriorCap">CapExpData!$B$19:$C$22</definedName>
    <definedName name="VProjType">CapExpData!$E$5:$F$9</definedName>
    <definedName name="VRemote">CapExpData!$B$11:$C$12</definedName>
    <definedName name="VSubtype1">CapExpData!$G$5:$H$10</definedName>
    <definedName name="VSubtype2">CapExpData!$G$15:$H$41</definedName>
    <definedName name="VSubtype3">CapExpData!$I$5:$J$31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9" i="2" l="1"/>
  <c r="B38" i="2"/>
  <c r="B37" i="2"/>
  <c r="B36" i="2"/>
  <c r="B35" i="2"/>
  <c r="B34" i="2"/>
  <c r="B33" i="2"/>
  <c r="B32" i="2"/>
  <c r="B31" i="2"/>
  <c r="B30" i="2"/>
  <c r="B29" i="2"/>
  <c r="B28" i="2"/>
  <c r="B27" i="2"/>
  <c r="B26" i="2"/>
  <c r="B25" i="2"/>
  <c r="B24" i="2"/>
  <c r="B23" i="2"/>
  <c r="B22" i="2"/>
  <c r="B21" i="2"/>
  <c r="B20" i="2"/>
  <c r="B19" i="2"/>
  <c r="B18" i="2"/>
  <c r="B17" i="2"/>
  <c r="B16" i="2"/>
  <c r="B15" i="2"/>
  <c r="B14" i="2"/>
  <c r="B13" i="2"/>
  <c r="B12" i="2"/>
  <c r="B11" i="2"/>
  <c r="B10" i="2"/>
  <c r="B9" i="2"/>
  <c r="B8" i="2"/>
  <c r="B7" i="2"/>
  <c r="B6" i="2"/>
  <c r="B5" i="2"/>
  <c r="J1" i="2"/>
  <c r="B25" i="7"/>
  <c r="B24" i="7"/>
  <c r="B23" i="7"/>
  <c r="B22" i="7"/>
  <c r="B21" i="7"/>
  <c r="B20" i="7"/>
  <c r="B19" i="7"/>
  <c r="B18" i="7"/>
  <c r="B17" i="7"/>
  <c r="B16" i="7"/>
  <c r="B15" i="7"/>
  <c r="B13" i="7"/>
  <c r="B12" i="7"/>
  <c r="B340" i="7"/>
  <c r="B339" i="7"/>
  <c r="B338" i="7"/>
  <c r="B337" i="7"/>
  <c r="B336" i="7"/>
  <c r="B335" i="7"/>
  <c r="B334" i="7"/>
  <c r="B333" i="7"/>
  <c r="B332" i="7"/>
  <c r="B331" i="7"/>
  <c r="B330" i="7"/>
  <c r="B329" i="7"/>
  <c r="B328" i="7"/>
  <c r="B327" i="7"/>
  <c r="B326" i="7"/>
  <c r="B325" i="7"/>
  <c r="B324" i="7"/>
  <c r="B323" i="7"/>
  <c r="B322" i="7"/>
  <c r="B321" i="7"/>
  <c r="B320" i="7"/>
  <c r="B319" i="7"/>
  <c r="B318" i="7"/>
  <c r="B317" i="7"/>
  <c r="B316" i="7"/>
  <c r="B315" i="7"/>
  <c r="B314" i="7"/>
  <c r="B313" i="7"/>
  <c r="B312" i="7"/>
  <c r="B311" i="7"/>
  <c r="B310" i="7"/>
  <c r="B309" i="7"/>
  <c r="B308" i="7"/>
  <c r="B307" i="7"/>
  <c r="B306" i="7"/>
  <c r="B305" i="7"/>
  <c r="B304" i="7"/>
  <c r="B303" i="7"/>
  <c r="B302" i="7"/>
  <c r="B301" i="7"/>
  <c r="B300" i="7"/>
  <c r="B299" i="7"/>
  <c r="B298" i="7"/>
  <c r="B297" i="7"/>
  <c r="B296" i="7"/>
  <c r="B295" i="7"/>
  <c r="B294" i="7"/>
  <c r="B293" i="7"/>
  <c r="B292" i="7"/>
  <c r="B291" i="7"/>
  <c r="B290" i="7"/>
  <c r="B289" i="7"/>
  <c r="B288" i="7"/>
  <c r="B287" i="7"/>
  <c r="B286" i="7"/>
  <c r="B285" i="7"/>
  <c r="B284" i="7"/>
  <c r="B283" i="7"/>
  <c r="B282" i="7"/>
  <c r="B280" i="7"/>
  <c r="B279" i="7"/>
  <c r="B278" i="7"/>
  <c r="B277" i="7"/>
  <c r="B276" i="7"/>
  <c r="B275" i="7"/>
  <c r="B274" i="7"/>
  <c r="B273" i="7"/>
  <c r="B272" i="7"/>
  <c r="B271" i="7"/>
  <c r="B270" i="7"/>
  <c r="B269" i="7"/>
  <c r="B268" i="7"/>
  <c r="B267" i="7"/>
  <c r="B265" i="7"/>
  <c r="B264" i="7"/>
  <c r="B263" i="7"/>
  <c r="B262" i="7"/>
  <c r="B261" i="7"/>
  <c r="B260" i="7"/>
  <c r="B259" i="7"/>
  <c r="B258" i="7"/>
  <c r="B257" i="7"/>
  <c r="B256" i="7"/>
  <c r="B255" i="7"/>
  <c r="B254" i="7"/>
  <c r="B253" i="7"/>
  <c r="B252" i="7"/>
  <c r="B250" i="7"/>
  <c r="B249" i="7"/>
  <c r="B248" i="7"/>
  <c r="B247" i="7"/>
  <c r="B246" i="7"/>
  <c r="B245" i="7"/>
  <c r="B244" i="7"/>
  <c r="B243" i="7"/>
  <c r="B242" i="7"/>
  <c r="B241" i="7"/>
  <c r="B240" i="7"/>
  <c r="B239" i="7"/>
  <c r="B238" i="7"/>
  <c r="B237" i="7"/>
  <c r="B235" i="7"/>
  <c r="B234" i="7"/>
  <c r="B233" i="7"/>
  <c r="B232" i="7"/>
  <c r="B231" i="7"/>
  <c r="B230" i="7"/>
  <c r="B229" i="7"/>
  <c r="B228" i="7"/>
  <c r="B227" i="7"/>
  <c r="B226" i="7"/>
  <c r="B225" i="7"/>
  <c r="B224" i="7"/>
  <c r="B223" i="7"/>
  <c r="B222" i="7"/>
  <c r="B220" i="7"/>
  <c r="B219" i="7"/>
  <c r="B218" i="7"/>
  <c r="B217" i="7"/>
  <c r="B216" i="7"/>
  <c r="B215" i="7"/>
  <c r="B214" i="7"/>
  <c r="B213" i="7"/>
  <c r="B212" i="7"/>
  <c r="B211" i="7"/>
  <c r="B210" i="7"/>
  <c r="B209" i="7"/>
  <c r="B208" i="7"/>
  <c r="B207" i="7"/>
  <c r="B205" i="7"/>
  <c r="B204" i="7"/>
  <c r="B203" i="7"/>
  <c r="B202" i="7"/>
  <c r="B201" i="7"/>
  <c r="B200" i="7"/>
  <c r="B199" i="7"/>
  <c r="B198" i="7"/>
  <c r="B197" i="7"/>
  <c r="B196" i="7"/>
  <c r="B195" i="7"/>
  <c r="B194" i="7"/>
  <c r="B193" i="7"/>
  <c r="B192" i="7"/>
  <c r="B191" i="7"/>
  <c r="B190" i="7"/>
  <c r="B189" i="7"/>
  <c r="B188" i="7"/>
  <c r="B187" i="7"/>
  <c r="B186" i="7"/>
  <c r="B184" i="7"/>
  <c r="B183" i="7"/>
  <c r="B182" i="7"/>
  <c r="B181" i="7"/>
  <c r="B180" i="7"/>
  <c r="B179" i="7"/>
  <c r="B178" i="7"/>
  <c r="B177" i="7"/>
  <c r="B176" i="7"/>
  <c r="B175" i="7"/>
  <c r="B174" i="7"/>
  <c r="B173" i="7"/>
  <c r="B172" i="7"/>
  <c r="B171" i="7"/>
  <c r="B169" i="7"/>
  <c r="B168" i="7"/>
  <c r="B167" i="7"/>
  <c r="B166" i="7"/>
  <c r="B165" i="7"/>
  <c r="B164" i="7"/>
  <c r="B163" i="7"/>
  <c r="B162" i="7"/>
  <c r="B161" i="7"/>
  <c r="B160" i="7"/>
  <c r="B159" i="7"/>
  <c r="B158" i="7"/>
  <c r="B157" i="7"/>
  <c r="B156" i="7"/>
  <c r="B154" i="7"/>
  <c r="B153" i="7"/>
  <c r="B152" i="7"/>
  <c r="B151" i="7"/>
  <c r="B150" i="7"/>
  <c r="B149" i="7"/>
  <c r="B148" i="7"/>
  <c r="B147" i="7"/>
  <c r="B146" i="7"/>
  <c r="B145" i="7"/>
  <c r="B144" i="7"/>
  <c r="B143" i="7"/>
  <c r="B142" i="7"/>
  <c r="B141" i="7"/>
  <c r="B139" i="7"/>
  <c r="B138" i="7"/>
  <c r="B137" i="7"/>
  <c r="B136" i="7"/>
  <c r="B135" i="7"/>
  <c r="B134" i="7"/>
  <c r="B133" i="7"/>
  <c r="B132" i="7"/>
  <c r="B131" i="7"/>
  <c r="B130" i="7"/>
  <c r="B129" i="7"/>
  <c r="B128" i="7"/>
  <c r="B127" i="7"/>
  <c r="B126" i="7"/>
  <c r="B124" i="7"/>
  <c r="B123" i="7"/>
  <c r="B122" i="7"/>
  <c r="B121" i="7"/>
  <c r="B120" i="7"/>
  <c r="B119" i="7"/>
  <c r="B118" i="7"/>
  <c r="B117" i="7"/>
  <c r="B116" i="7"/>
  <c r="B115" i="7"/>
  <c r="B114" i="7"/>
  <c r="B113" i="7"/>
  <c r="B112" i="7"/>
  <c r="B111" i="7"/>
  <c r="B109" i="7"/>
  <c r="B108" i="7"/>
  <c r="B107" i="7"/>
  <c r="B106" i="7"/>
  <c r="B105" i="7"/>
  <c r="B104" i="7"/>
  <c r="B103" i="7"/>
  <c r="B102" i="7"/>
  <c r="B101" i="7"/>
  <c r="B100" i="7"/>
  <c r="B99" i="7"/>
  <c r="B98" i="7"/>
  <c r="B97" i="7"/>
  <c r="B96" i="7"/>
  <c r="B95" i="7"/>
  <c r="B94" i="7"/>
  <c r="B93" i="7"/>
  <c r="B92" i="7"/>
  <c r="B91" i="7"/>
  <c r="B90" i="7"/>
  <c r="B88" i="7"/>
  <c r="B87" i="7"/>
  <c r="B86" i="7"/>
  <c r="B85" i="7"/>
  <c r="B84" i="7"/>
  <c r="B83" i="7"/>
  <c r="B82" i="7"/>
  <c r="B81" i="7"/>
  <c r="B80" i="7"/>
  <c r="B79" i="7"/>
  <c r="B78" i="7"/>
  <c r="B77" i="7"/>
  <c r="B76" i="7"/>
  <c r="B75" i="7"/>
  <c r="B73" i="7"/>
  <c r="B72" i="7"/>
  <c r="B71" i="7"/>
  <c r="B70" i="7"/>
  <c r="B69" i="7"/>
  <c r="B68" i="7"/>
  <c r="B67" i="7"/>
  <c r="B66" i="7"/>
  <c r="B65" i="7"/>
  <c r="B64" i="7"/>
  <c r="B63" i="7"/>
  <c r="B62" i="7"/>
  <c r="B61" i="7"/>
  <c r="B60" i="7"/>
  <c r="B58" i="7"/>
  <c r="B57" i="7"/>
  <c r="B56" i="7"/>
  <c r="B55" i="7"/>
  <c r="B54" i="7"/>
  <c r="B53" i="7"/>
  <c r="B52" i="7"/>
  <c r="B51" i="7"/>
  <c r="B50" i="7"/>
  <c r="B49" i="7"/>
  <c r="B48" i="7"/>
  <c r="B47" i="7"/>
  <c r="B46" i="7"/>
  <c r="B45" i="7"/>
  <c r="B43" i="7"/>
  <c r="B42" i="7"/>
  <c r="B41" i="7"/>
  <c r="B40" i="7"/>
  <c r="B39" i="7"/>
  <c r="B38" i="7"/>
  <c r="B37" i="7"/>
  <c r="B36" i="7"/>
  <c r="B35" i="7"/>
  <c r="B34" i="7"/>
  <c r="B33" i="7"/>
  <c r="B32" i="7"/>
  <c r="B31" i="7"/>
  <c r="B30" i="7"/>
  <c r="B28" i="7"/>
  <c r="B27" i="7"/>
  <c r="B26" i="7"/>
  <c r="B11" i="7"/>
  <c r="B10" i="7"/>
  <c r="B9" i="7"/>
  <c r="B8" i="7"/>
  <c r="B7" i="7"/>
  <c r="B6" i="7"/>
  <c r="B5" i="7"/>
  <c r="B4" i="7"/>
  <c r="B3" i="7"/>
  <c r="B2" i="7"/>
  <c r="O1" i="7"/>
  <c r="K1" i="24"/>
  <c r="AB49" i="12" l="1"/>
  <c r="AC49" i="12"/>
  <c r="AD49" i="12"/>
  <c r="AE49" i="12"/>
  <c r="AF49" i="12"/>
  <c r="A2" i="4" l="1"/>
  <c r="A1" i="6"/>
  <c r="M4" i="16"/>
  <c r="A1" i="3" l="1"/>
  <c r="R273" i="24"/>
  <c r="K1" i="18" l="1"/>
  <c r="H2" i="2" l="1"/>
  <c r="EV1" i="5" l="1"/>
  <c r="Q49" i="24"/>
  <c r="Q92" i="24" s="1"/>
  <c r="Q135" i="24" s="1"/>
  <c r="Q178" i="24" s="1"/>
  <c r="Q221" i="24" s="1"/>
  <c r="Q264" i="24" s="1"/>
  <c r="Q307" i="24" s="1"/>
  <c r="Q350" i="24" s="1"/>
  <c r="Q393" i="24" s="1"/>
  <c r="Q436" i="24" s="1"/>
  <c r="Q479" i="24" s="1"/>
  <c r="AC3" i="24" l="1"/>
  <c r="AC4" i="24"/>
  <c r="AC5" i="24"/>
  <c r="AC6" i="24"/>
  <c r="AC7" i="24"/>
  <c r="AC8" i="24"/>
  <c r="AC9" i="24"/>
  <c r="AC10" i="24"/>
  <c r="AC11" i="24"/>
  <c r="AC12" i="24"/>
  <c r="AC13" i="24"/>
  <c r="AC2" i="24"/>
  <c r="C18" i="20"/>
  <c r="G13" i="20"/>
  <c r="G10" i="20"/>
  <c r="G9" i="20"/>
  <c r="G7" i="20"/>
  <c r="I4" i="20"/>
  <c r="K1" i="20"/>
  <c r="G17" i="20" s="1"/>
  <c r="E39" i="21" s="1"/>
  <c r="N2" i="24"/>
  <c r="N5" i="24"/>
  <c r="N48" i="24" s="1"/>
  <c r="R5" i="8"/>
  <c r="AA14" i="24" s="1"/>
  <c r="O6" i="24"/>
  <c r="O436" i="24" s="1"/>
  <c r="S518" i="24"/>
  <c r="AP13" i="24" s="1"/>
  <c r="S514" i="24"/>
  <c r="S511" i="24"/>
  <c r="S508" i="24"/>
  <c r="AN13" i="24" s="1"/>
  <c r="S507" i="24"/>
  <c r="BC110" i="24" s="1"/>
  <c r="S506" i="24"/>
  <c r="S503" i="24"/>
  <c r="AO13" i="24"/>
  <c r="S499" i="24"/>
  <c r="AR13" i="24" s="1"/>
  <c r="S498" i="24"/>
  <c r="BC108" i="24" s="1"/>
  <c r="S497" i="24"/>
  <c r="BC107" i="24" s="1"/>
  <c r="S496" i="24"/>
  <c r="V494" i="24"/>
  <c r="BC105" i="24" s="1"/>
  <c r="U494" i="24"/>
  <c r="BC104" i="24" s="1"/>
  <c r="T494" i="24"/>
  <c r="BC103" i="24" s="1"/>
  <c r="S494" i="24"/>
  <c r="BC102" i="24" s="1"/>
  <c r="S491" i="24"/>
  <c r="AX13" i="24" s="1"/>
  <c r="R491" i="24"/>
  <c r="S490" i="24"/>
  <c r="AW13" i="24" s="1"/>
  <c r="R490" i="24"/>
  <c r="S489" i="24"/>
  <c r="AV13" i="24" s="1"/>
  <c r="R489" i="24"/>
  <c r="S488" i="24"/>
  <c r="AU13" i="24" s="1"/>
  <c r="R488" i="24"/>
  <c r="S487" i="24"/>
  <c r="S486" i="24"/>
  <c r="AL13" i="24" s="1"/>
  <c r="S485" i="24"/>
  <c r="AK13" i="24" s="1"/>
  <c r="M485" i="24"/>
  <c r="S484" i="24"/>
  <c r="AJ13" i="24" s="1"/>
  <c r="M484" i="24"/>
  <c r="S483" i="24"/>
  <c r="AI13" i="24" s="1"/>
  <c r="M483" i="24"/>
  <c r="S482" i="24"/>
  <c r="AG13" i="24" s="1"/>
  <c r="M482" i="24"/>
  <c r="S481" i="24"/>
  <c r="AF13" i="24" s="1"/>
  <c r="M481" i="24"/>
  <c r="S480" i="24"/>
  <c r="AQ13" i="24" s="1"/>
  <c r="S475" i="24"/>
  <c r="AP12" i="24" s="1"/>
  <c r="S471" i="24"/>
  <c r="AT12" i="24" s="1"/>
  <c r="S468" i="24"/>
  <c r="AS12" i="24" s="1"/>
  <c r="S465" i="24"/>
  <c r="S464" i="24"/>
  <c r="BC101" i="24" s="1"/>
  <c r="BB101" i="24" s="1"/>
  <c r="S463" i="24"/>
  <c r="S460" i="24"/>
  <c r="S456" i="24"/>
  <c r="AR12" i="24" s="1"/>
  <c r="S455" i="24"/>
  <c r="BC99" i="24" s="1"/>
  <c r="S454" i="24"/>
  <c r="BC98" i="24" s="1"/>
  <c r="BB98" i="24" s="1"/>
  <c r="S453" i="24"/>
  <c r="BC97" i="24" s="1"/>
  <c r="BB97" i="24" s="1"/>
  <c r="V451" i="24"/>
  <c r="BC96" i="24" s="1"/>
  <c r="U451" i="24"/>
  <c r="BC95" i="24"/>
  <c r="BB95" i="24" s="1"/>
  <c r="T451" i="24"/>
  <c r="S451" i="24"/>
  <c r="S448" i="24"/>
  <c r="AX12" i="24" s="1"/>
  <c r="R448" i="24"/>
  <c r="S447" i="24"/>
  <c r="AW12" i="24" s="1"/>
  <c r="R447" i="24"/>
  <c r="S446" i="24"/>
  <c r="AV12" i="24" s="1"/>
  <c r="R446" i="24"/>
  <c r="S445" i="24"/>
  <c r="AU12" i="24" s="1"/>
  <c r="R445" i="24"/>
  <c r="S444" i="24"/>
  <c r="S443" i="24"/>
  <c r="AL12" i="24" s="1"/>
  <c r="S442" i="24"/>
  <c r="AK12" i="24" s="1"/>
  <c r="M442" i="24"/>
  <c r="S441" i="24"/>
  <c r="AJ12" i="24" s="1"/>
  <c r="M441" i="24"/>
  <c r="S440" i="24"/>
  <c r="AI12" i="24" s="1"/>
  <c r="M440" i="24"/>
  <c r="S439" i="24"/>
  <c r="AG12" i="24" s="1"/>
  <c r="M439" i="24"/>
  <c r="S438" i="24"/>
  <c r="AF12" i="24" s="1"/>
  <c r="M438" i="24"/>
  <c r="S437" i="24"/>
  <c r="AQ12" i="24" s="1"/>
  <c r="S432" i="24"/>
  <c r="S428" i="24"/>
  <c r="S425" i="24"/>
  <c r="AS11" i="24" s="1"/>
  <c r="S422" i="24"/>
  <c r="AN11" i="24" s="1"/>
  <c r="S421" i="24"/>
  <c r="BC92" i="24" s="1"/>
  <c r="S420" i="24"/>
  <c r="BC91" i="24" s="1"/>
  <c r="S417" i="24"/>
  <c r="AO11" i="24" s="1"/>
  <c r="S413" i="24"/>
  <c r="S412" i="24"/>
  <c r="S411" i="24"/>
  <c r="S410" i="24"/>
  <c r="BC88" i="24" s="1"/>
  <c r="V408" i="24"/>
  <c r="BC87" i="24" s="1"/>
  <c r="BB87" i="24" s="1"/>
  <c r="U408" i="24"/>
  <c r="BC86" i="24" s="1"/>
  <c r="T408" i="24"/>
  <c r="BC85" i="24"/>
  <c r="BB85" i="24" s="1"/>
  <c r="S408" i="24"/>
  <c r="BC84" i="24" s="1"/>
  <c r="S405" i="24"/>
  <c r="AX11" i="24" s="1"/>
  <c r="R405" i="24"/>
  <c r="S404" i="24"/>
  <c r="AW11" i="24"/>
  <c r="R404" i="24"/>
  <c r="S403" i="24"/>
  <c r="R403" i="24"/>
  <c r="S402" i="24"/>
  <c r="AU11" i="24"/>
  <c r="R402" i="24"/>
  <c r="S401" i="24"/>
  <c r="AM11" i="24"/>
  <c r="S400" i="24"/>
  <c r="AL11" i="24" s="1"/>
  <c r="S399" i="24"/>
  <c r="AK11" i="24" s="1"/>
  <c r="M399" i="24"/>
  <c r="S398" i="24"/>
  <c r="AJ11" i="24" s="1"/>
  <c r="M398" i="24"/>
  <c r="S397" i="24"/>
  <c r="AI11" i="24"/>
  <c r="M397" i="24"/>
  <c r="S396" i="24"/>
  <c r="AG11" i="24" s="1"/>
  <c r="M396" i="24"/>
  <c r="S395" i="24"/>
  <c r="AF11" i="24" s="1"/>
  <c r="M395" i="24"/>
  <c r="S394" i="24"/>
  <c r="S389" i="24"/>
  <c r="AP10" i="24"/>
  <c r="S385" i="24"/>
  <c r="AT10" i="24" s="1"/>
  <c r="S382" i="24"/>
  <c r="AS10" i="24" s="1"/>
  <c r="S379" i="24"/>
  <c r="AN10" i="24" s="1"/>
  <c r="S378" i="24"/>
  <c r="BC83" i="24" s="1"/>
  <c r="BB83" i="24" s="1"/>
  <c r="S377" i="24"/>
  <c r="BC82" i="24"/>
  <c r="S374" i="24"/>
  <c r="AO10" i="24" s="1"/>
  <c r="S370" i="24"/>
  <c r="AR10" i="24" s="1"/>
  <c r="S369" i="24"/>
  <c r="BC81" i="24"/>
  <c r="BB81" i="24" s="1"/>
  <c r="S368" i="24"/>
  <c r="BC80" i="24" s="1"/>
  <c r="BB80" i="24" s="1"/>
  <c r="S367" i="24"/>
  <c r="BC79" i="24" s="1"/>
  <c r="V365" i="24"/>
  <c r="U365" i="24"/>
  <c r="BC77" i="24" s="1"/>
  <c r="BA77" i="24" s="1"/>
  <c r="T365" i="24"/>
  <c r="S365" i="24"/>
  <c r="BC75" i="24"/>
  <c r="BA75" i="24" s="1"/>
  <c r="S362" i="24"/>
  <c r="AX10" i="24" s="1"/>
  <c r="R362" i="24"/>
  <c r="S361" i="24"/>
  <c r="AW10" i="24" s="1"/>
  <c r="R361" i="24"/>
  <c r="S360" i="24"/>
  <c r="AV10" i="24" s="1"/>
  <c r="R360" i="24"/>
  <c r="S359" i="24"/>
  <c r="AU10" i="24" s="1"/>
  <c r="R359" i="24"/>
  <c r="S358" i="24"/>
  <c r="AM10" i="24" s="1"/>
  <c r="S357" i="24"/>
  <c r="AL10" i="24"/>
  <c r="S356" i="24"/>
  <c r="AK10" i="24" s="1"/>
  <c r="M356" i="24"/>
  <c r="S355" i="24"/>
  <c r="M355" i="24"/>
  <c r="S354" i="24"/>
  <c r="AI10" i="24" s="1"/>
  <c r="M354" i="24"/>
  <c r="S353" i="24"/>
  <c r="M353" i="24"/>
  <c r="S352" i="24"/>
  <c r="AF10" i="24" s="1"/>
  <c r="M352" i="24"/>
  <c r="S351" i="24"/>
  <c r="S346" i="24"/>
  <c r="AP9" i="24" s="1"/>
  <c r="S342" i="24"/>
  <c r="AT9" i="24" s="1"/>
  <c r="S339" i="24"/>
  <c r="AS9" i="24" s="1"/>
  <c r="S336" i="24"/>
  <c r="AN9" i="24"/>
  <c r="S335" i="24"/>
  <c r="S334" i="24"/>
  <c r="BC73" i="24" s="1"/>
  <c r="S331" i="24"/>
  <c r="S327" i="24"/>
  <c r="AR9" i="24" s="1"/>
  <c r="S326" i="24"/>
  <c r="BC72" i="24" s="1"/>
  <c r="BB72" i="24" s="1"/>
  <c r="S325" i="24"/>
  <c r="BC71" i="24" s="1"/>
  <c r="S324" i="24"/>
  <c r="V322" i="24"/>
  <c r="U322" i="24"/>
  <c r="T322" i="24"/>
  <c r="BC67" i="24" s="1"/>
  <c r="S322" i="24"/>
  <c r="BC66" i="24" s="1"/>
  <c r="BB66" i="24" s="1"/>
  <c r="S319" i="24"/>
  <c r="AX9" i="24" s="1"/>
  <c r="R319" i="24"/>
  <c r="S318" i="24"/>
  <c r="R318" i="24"/>
  <c r="S317" i="24"/>
  <c r="AV9" i="24" s="1"/>
  <c r="R317" i="24"/>
  <c r="S316" i="24"/>
  <c r="AU9" i="24" s="1"/>
  <c r="R316" i="24"/>
  <c r="S315" i="24"/>
  <c r="S314" i="24"/>
  <c r="AL9" i="24" s="1"/>
  <c r="S313" i="24"/>
  <c r="M313" i="24"/>
  <c r="S312" i="24"/>
  <c r="AJ9" i="24" s="1"/>
  <c r="M312" i="24"/>
  <c r="S311" i="24"/>
  <c r="AI9" i="24" s="1"/>
  <c r="M311" i="24"/>
  <c r="S310" i="24"/>
  <c r="AG9" i="24" s="1"/>
  <c r="M310" i="24"/>
  <c r="S309" i="24"/>
  <c r="AF9" i="24" s="1"/>
  <c r="M309" i="24"/>
  <c r="S308" i="24"/>
  <c r="AQ9" i="24" s="1"/>
  <c r="S303" i="24"/>
  <c r="S299" i="24"/>
  <c r="AT8" i="24" s="1"/>
  <c r="S296" i="24"/>
  <c r="S293" i="24"/>
  <c r="AN8" i="24" s="1"/>
  <c r="S292" i="24"/>
  <c r="BC65" i="24" s="1"/>
  <c r="BB65" i="24" s="1"/>
  <c r="S291" i="24"/>
  <c r="BC64" i="24" s="1"/>
  <c r="S288" i="24"/>
  <c r="AO8" i="24" s="1"/>
  <c r="S284" i="24"/>
  <c r="S283" i="24"/>
  <c r="BC63" i="24"/>
  <c r="BB63" i="24" s="1"/>
  <c r="S282" i="24"/>
  <c r="BC62" i="24" s="1"/>
  <c r="S281" i="24"/>
  <c r="V279" i="24"/>
  <c r="BC60" i="24"/>
  <c r="BB60" i="24" s="1"/>
  <c r="U279" i="24"/>
  <c r="BC59" i="24" s="1"/>
  <c r="T279" i="24"/>
  <c r="BC58" i="24" s="1"/>
  <c r="BB58" i="24" s="1"/>
  <c r="S279" i="24"/>
  <c r="BC57" i="24" s="1"/>
  <c r="S276" i="24"/>
  <c r="AX8" i="24"/>
  <c r="R276" i="24"/>
  <c r="S275" i="24"/>
  <c r="AW8" i="24" s="1"/>
  <c r="R275" i="24"/>
  <c r="S274" i="24"/>
  <c r="AV8" i="24" s="1"/>
  <c r="R274" i="24"/>
  <c r="S273" i="24"/>
  <c r="S272" i="24"/>
  <c r="AM8" i="24"/>
  <c r="S271" i="24"/>
  <c r="S270" i="24"/>
  <c r="M270" i="24"/>
  <c r="S269" i="24"/>
  <c r="AJ8" i="24" s="1"/>
  <c r="M269" i="24"/>
  <c r="S268" i="24"/>
  <c r="AI8" i="24" s="1"/>
  <c r="M268" i="24"/>
  <c r="S267" i="24"/>
  <c r="AG8" i="24" s="1"/>
  <c r="M267" i="24"/>
  <c r="S266" i="24"/>
  <c r="AF8" i="24" s="1"/>
  <c r="M266" i="24"/>
  <c r="S265" i="24"/>
  <c r="AQ8" i="24" s="1"/>
  <c r="S260" i="24"/>
  <c r="AP7" i="24" s="1"/>
  <c r="AL256" i="24"/>
  <c r="S256" i="24"/>
  <c r="AT7" i="24" s="1"/>
  <c r="AL253" i="24"/>
  <c r="S253" i="24"/>
  <c r="AL252" i="24"/>
  <c r="AL251" i="24"/>
  <c r="S250" i="24"/>
  <c r="AN7" i="24" s="1"/>
  <c r="AL249" i="24"/>
  <c r="S249" i="24"/>
  <c r="BC56" i="24" s="1"/>
  <c r="AL248" i="24"/>
  <c r="S248" i="24"/>
  <c r="BC55" i="24" s="1"/>
  <c r="BB55" i="24" s="1"/>
  <c r="S245" i="24"/>
  <c r="S241" i="24"/>
  <c r="AR7" i="24" s="1"/>
  <c r="S240" i="24"/>
  <c r="BC54" i="24" s="1"/>
  <c r="S239" i="24"/>
  <c r="BC53" i="24" s="1"/>
  <c r="BB53" i="24" s="1"/>
  <c r="S238" i="24"/>
  <c r="BC52" i="24"/>
  <c r="BA52" i="24" s="1"/>
  <c r="BB52" i="24"/>
  <c r="V236" i="24"/>
  <c r="BC51" i="24" s="1"/>
  <c r="U236" i="24"/>
  <c r="T236" i="24"/>
  <c r="BC49" i="24" s="1"/>
  <c r="BB49" i="24" s="1"/>
  <c r="S236" i="24"/>
  <c r="BC48" i="24" s="1"/>
  <c r="S233" i="24"/>
  <c r="AX7" i="24" s="1"/>
  <c r="R233" i="24"/>
  <c r="S232" i="24"/>
  <c r="AW7" i="24"/>
  <c r="R232" i="24"/>
  <c r="S231" i="24"/>
  <c r="AV7" i="24" s="1"/>
  <c r="R231" i="24"/>
  <c r="S230" i="24"/>
  <c r="AU7" i="24" s="1"/>
  <c r="R230" i="24"/>
  <c r="S229" i="24"/>
  <c r="AM7" i="24" s="1"/>
  <c r="S228" i="24"/>
  <c r="AL7" i="24" s="1"/>
  <c r="S227" i="24"/>
  <c r="AK7" i="24" s="1"/>
  <c r="M227" i="24"/>
  <c r="S226" i="24"/>
  <c r="M226" i="24"/>
  <c r="S225" i="24"/>
  <c r="AI7" i="24" s="1"/>
  <c r="M225" i="24"/>
  <c r="S224" i="24"/>
  <c r="AG7" i="24" s="1"/>
  <c r="M224" i="24"/>
  <c r="S223" i="24"/>
  <c r="AF7" i="24"/>
  <c r="M223" i="24"/>
  <c r="S222" i="24"/>
  <c r="AQ7" i="24" s="1"/>
  <c r="S217" i="24"/>
  <c r="AP6" i="24" s="1"/>
  <c r="S213" i="24"/>
  <c r="AT6" i="24" s="1"/>
  <c r="S210" i="24"/>
  <c r="AS6" i="24" s="1"/>
  <c r="S207" i="24"/>
  <c r="AN6" i="24" s="1"/>
  <c r="S206" i="24"/>
  <c r="BC47" i="24" s="1"/>
  <c r="S205" i="24"/>
  <c r="BC46" i="24" s="1"/>
  <c r="BA46" i="24" s="1"/>
  <c r="S202" i="24"/>
  <c r="AO6" i="24" s="1"/>
  <c r="S198" i="24"/>
  <c r="S197" i="24"/>
  <c r="BC45" i="24" s="1"/>
  <c r="S196" i="24"/>
  <c r="BC44" i="24" s="1"/>
  <c r="BB44" i="24" s="1"/>
  <c r="S195" i="24"/>
  <c r="BC43" i="24" s="1"/>
  <c r="V193" i="24"/>
  <c r="BC42" i="24" s="1"/>
  <c r="BB42" i="24" s="1"/>
  <c r="U193" i="24"/>
  <c r="BC41" i="24"/>
  <c r="BB41" i="24" s="1"/>
  <c r="T193" i="24"/>
  <c r="BC40" i="24" s="1"/>
  <c r="S193" i="24"/>
  <c r="BC39" i="24" s="1"/>
  <c r="S190" i="24"/>
  <c r="AX6" i="24"/>
  <c r="R190" i="24"/>
  <c r="S189" i="24"/>
  <c r="R189" i="24"/>
  <c r="S188" i="24"/>
  <c r="AV6" i="24" s="1"/>
  <c r="R188" i="24"/>
  <c r="S187" i="24"/>
  <c r="AU6" i="24" s="1"/>
  <c r="R187" i="24"/>
  <c r="S186" i="24"/>
  <c r="AM6" i="24" s="1"/>
  <c r="S185" i="24"/>
  <c r="AL6" i="24"/>
  <c r="S184" i="24"/>
  <c r="AK6" i="24" s="1"/>
  <c r="M184" i="24"/>
  <c r="S183" i="24"/>
  <c r="M183" i="24"/>
  <c r="S182" i="24"/>
  <c r="AI6" i="24" s="1"/>
  <c r="M182" i="24"/>
  <c r="S181" i="24"/>
  <c r="AG6" i="24" s="1"/>
  <c r="M181" i="24"/>
  <c r="S180" i="24"/>
  <c r="AF6" i="24" s="1"/>
  <c r="M180" i="24"/>
  <c r="S179" i="24"/>
  <c r="AQ6" i="24" s="1"/>
  <c r="S174" i="24"/>
  <c r="AP5" i="24" s="1"/>
  <c r="S170" i="24"/>
  <c r="AT5" i="24" s="1"/>
  <c r="S167" i="24"/>
  <c r="AS5" i="24" s="1"/>
  <c r="S164" i="24"/>
  <c r="AN5" i="24"/>
  <c r="S163" i="24"/>
  <c r="S162" i="24"/>
  <c r="BC37" i="24"/>
  <c r="BB37" i="24" s="1"/>
  <c r="S159" i="24"/>
  <c r="AO5" i="24" s="1"/>
  <c r="S155" i="24"/>
  <c r="AR5" i="24" s="1"/>
  <c r="S154" i="24"/>
  <c r="BC36" i="24"/>
  <c r="BB36" i="24" s="1"/>
  <c r="S153" i="24"/>
  <c r="BC35" i="24" s="1"/>
  <c r="S152" i="24"/>
  <c r="V150" i="24"/>
  <c r="BC33" i="24" s="1"/>
  <c r="BA33" i="24" s="1"/>
  <c r="U150" i="24"/>
  <c r="BC32" i="24" s="1"/>
  <c r="BA32" i="24" s="1"/>
  <c r="T150" i="24"/>
  <c r="BC31" i="24" s="1"/>
  <c r="S150" i="24"/>
  <c r="BC30" i="24"/>
  <c r="BB30" i="24" s="1"/>
  <c r="S147" i="24"/>
  <c r="AX5" i="24" s="1"/>
  <c r="R147" i="24"/>
  <c r="S146" i="24"/>
  <c r="AW5" i="24" s="1"/>
  <c r="R146" i="24"/>
  <c r="S145" i="24"/>
  <c r="AV5" i="24" s="1"/>
  <c r="R145" i="24"/>
  <c r="S144" i="24"/>
  <c r="AU5" i="24" s="1"/>
  <c r="R144" i="24"/>
  <c r="S143" i="24"/>
  <c r="AM5" i="24" s="1"/>
  <c r="S142" i="24"/>
  <c r="S141" i="24"/>
  <c r="M141" i="24"/>
  <c r="S140" i="24"/>
  <c r="AJ5" i="24" s="1"/>
  <c r="M140" i="24"/>
  <c r="S139" i="24"/>
  <c r="AI5" i="24" s="1"/>
  <c r="M139" i="24"/>
  <c r="S138" i="24"/>
  <c r="AG5" i="24"/>
  <c r="M138" i="24"/>
  <c r="S137" i="24"/>
  <c r="AF5" i="24" s="1"/>
  <c r="M137" i="24"/>
  <c r="S136" i="24"/>
  <c r="AQ5" i="24" s="1"/>
  <c r="S131" i="24"/>
  <c r="AP4" i="24" s="1"/>
  <c r="S127" i="24"/>
  <c r="AT4" i="24" s="1"/>
  <c r="S124" i="24"/>
  <c r="AS4" i="24" s="1"/>
  <c r="S121" i="24"/>
  <c r="AN4" i="24" s="1"/>
  <c r="S120" i="24"/>
  <c r="BC29" i="24"/>
  <c r="BB29" i="24" s="1"/>
  <c r="S119" i="24"/>
  <c r="BC28" i="24" s="1"/>
  <c r="S116" i="24"/>
  <c r="AO4" i="24"/>
  <c r="S112" i="24"/>
  <c r="AR4" i="24" s="1"/>
  <c r="S111" i="24"/>
  <c r="S110" i="24"/>
  <c r="BC26" i="24" s="1"/>
  <c r="BB26" i="24" s="1"/>
  <c r="BC109" i="24"/>
  <c r="BB109" i="24" s="1"/>
  <c r="S109" i="24"/>
  <c r="BC25" i="24" s="1"/>
  <c r="V107" i="24"/>
  <c r="U107" i="24"/>
  <c r="BC23" i="24" s="1"/>
  <c r="T107" i="24"/>
  <c r="BC22" i="24" s="1"/>
  <c r="S107" i="24"/>
  <c r="BC106" i="24"/>
  <c r="BB106" i="24"/>
  <c r="S104" i="24"/>
  <c r="R104" i="24"/>
  <c r="S103" i="24"/>
  <c r="AW4" i="24" s="1"/>
  <c r="R103" i="24"/>
  <c r="S102" i="24"/>
  <c r="AV4" i="24" s="1"/>
  <c r="R102" i="24"/>
  <c r="S101" i="24"/>
  <c r="AU4" i="24"/>
  <c r="R101" i="24"/>
  <c r="BC100" i="24"/>
  <c r="BB100" i="24" s="1"/>
  <c r="S100" i="24"/>
  <c r="AM4" i="24" s="1"/>
  <c r="S99" i="24"/>
  <c r="AL4" i="24" s="1"/>
  <c r="S98" i="24"/>
  <c r="AK4" i="24" s="1"/>
  <c r="M98" i="24"/>
  <c r="S97" i="24"/>
  <c r="AJ4" i="24" s="1"/>
  <c r="M97" i="24"/>
  <c r="S96" i="24"/>
  <c r="AI4" i="24" s="1"/>
  <c r="M96" i="24"/>
  <c r="S95" i="24"/>
  <c r="AG4" i="24" s="1"/>
  <c r="M95" i="24"/>
  <c r="BC94" i="24"/>
  <c r="BB94" i="24" s="1"/>
  <c r="S94" i="24"/>
  <c r="M94" i="24"/>
  <c r="BC93" i="24"/>
  <c r="BB93" i="24" s="1"/>
  <c r="S93" i="24"/>
  <c r="BC90" i="24"/>
  <c r="BA90" i="24"/>
  <c r="BC89" i="24"/>
  <c r="BB89" i="24" s="1"/>
  <c r="BA89" i="24"/>
  <c r="S88" i="24"/>
  <c r="AP3" i="24" s="1"/>
  <c r="S84" i="24"/>
  <c r="AT3" i="24" s="1"/>
  <c r="S81" i="24"/>
  <c r="BC78" i="24"/>
  <c r="S78" i="24"/>
  <c r="AN3" i="24" s="1"/>
  <c r="S77" i="24"/>
  <c r="BC20" i="24" s="1"/>
  <c r="BB20" i="24" s="1"/>
  <c r="BC76" i="24"/>
  <c r="BA76" i="24" s="1"/>
  <c r="S76" i="24"/>
  <c r="BC74" i="24"/>
  <c r="BB74" i="24" s="1"/>
  <c r="S73" i="24"/>
  <c r="AO3" i="24" s="1"/>
  <c r="BC70" i="24"/>
  <c r="BA70" i="24" s="1"/>
  <c r="BC69" i="24"/>
  <c r="BB69" i="24" s="1"/>
  <c r="S69" i="24"/>
  <c r="AR3" i="24" s="1"/>
  <c r="BC68" i="24"/>
  <c r="BB68" i="24" s="1"/>
  <c r="S68" i="24"/>
  <c r="BC18" i="24" s="1"/>
  <c r="S67" i="24"/>
  <c r="BC17" i="24" s="1"/>
  <c r="BA17" i="24" s="1"/>
  <c r="S66" i="24"/>
  <c r="BC16" i="24" s="1"/>
  <c r="V64" i="24"/>
  <c r="BC15" i="24"/>
  <c r="BB15" i="24"/>
  <c r="U64" i="24"/>
  <c r="BC14" i="24" s="1"/>
  <c r="T64" i="24"/>
  <c r="BC13" i="24" s="1"/>
  <c r="BB13" i="24" s="1"/>
  <c r="S64" i="24"/>
  <c r="BC12" i="24" s="1"/>
  <c r="BC61" i="24"/>
  <c r="BB61" i="24" s="1"/>
  <c r="S61" i="24"/>
  <c r="AX3" i="24" s="1"/>
  <c r="R61" i="24"/>
  <c r="S60" i="24"/>
  <c r="AW3" i="24" s="1"/>
  <c r="R60" i="24"/>
  <c r="BB59" i="24"/>
  <c r="S59" i="24"/>
  <c r="AV3" i="24" s="1"/>
  <c r="R59" i="24"/>
  <c r="S58" i="24"/>
  <c r="R58" i="24"/>
  <c r="S57" i="24"/>
  <c r="AM3" i="24" s="1"/>
  <c r="S56" i="24"/>
  <c r="AL3" i="24" s="1"/>
  <c r="S55" i="24"/>
  <c r="AK3" i="24" s="1"/>
  <c r="M55" i="24"/>
  <c r="S54" i="24"/>
  <c r="AJ3" i="24" s="1"/>
  <c r="M54" i="24"/>
  <c r="S53" i="24"/>
  <c r="AI3" i="24" s="1"/>
  <c r="M53" i="24"/>
  <c r="S52" i="24"/>
  <c r="AG3" i="24" s="1"/>
  <c r="M52" i="24"/>
  <c r="S51" i="24"/>
  <c r="AF3" i="24" s="1"/>
  <c r="M51" i="24"/>
  <c r="BC50" i="24"/>
  <c r="BB50" i="24" s="1"/>
  <c r="S50" i="24"/>
  <c r="S45" i="24"/>
  <c r="AP2" i="24" s="1"/>
  <c r="S41" i="24"/>
  <c r="BC38" i="24"/>
  <c r="BB38" i="24" s="1"/>
  <c r="S38" i="24"/>
  <c r="AS2" i="24" s="1"/>
  <c r="S35" i="24"/>
  <c r="AN2" i="24" s="1"/>
  <c r="BC34" i="24"/>
  <c r="BA34" i="24" s="1"/>
  <c r="BB34" i="24"/>
  <c r="S34" i="24"/>
  <c r="BC11" i="24" s="1"/>
  <c r="S33" i="24"/>
  <c r="BC10" i="24" s="1"/>
  <c r="S30" i="24"/>
  <c r="AO2" i="24" s="1"/>
  <c r="BC27" i="24"/>
  <c r="BB27" i="24" s="1"/>
  <c r="AN26" i="24"/>
  <c r="AM26" i="24"/>
  <c r="AL26" i="24"/>
  <c r="AK26" i="24"/>
  <c r="AJ26" i="24"/>
  <c r="AI26" i="24"/>
  <c r="S26" i="24"/>
  <c r="AR2" i="24" s="1"/>
  <c r="AN25" i="24"/>
  <c r="AM25" i="24"/>
  <c r="AL25" i="24"/>
  <c r="AK25" i="24"/>
  <c r="AJ25" i="24"/>
  <c r="AI25" i="24"/>
  <c r="S25" i="24"/>
  <c r="BC9" i="24" s="1"/>
  <c r="BC24" i="24"/>
  <c r="BB24" i="24" s="1"/>
  <c r="AN24" i="24"/>
  <c r="AM24" i="24"/>
  <c r="AL24" i="24"/>
  <c r="AK24" i="24"/>
  <c r="AJ24" i="24"/>
  <c r="AI24" i="24"/>
  <c r="S24" i="24"/>
  <c r="BC8" i="24" s="1"/>
  <c r="BB8" i="24" s="1"/>
  <c r="AN23" i="24"/>
  <c r="AM23" i="24"/>
  <c r="AL23" i="24"/>
  <c r="AK23" i="24"/>
  <c r="AJ23" i="24"/>
  <c r="AI23" i="24"/>
  <c r="S23" i="24"/>
  <c r="BC7" i="24" s="1"/>
  <c r="AN22" i="24"/>
  <c r="AM22" i="24"/>
  <c r="AL22" i="24"/>
  <c r="AK22" i="24"/>
  <c r="AJ22" i="24"/>
  <c r="AI22" i="24"/>
  <c r="BC21" i="24"/>
  <c r="BB21" i="24"/>
  <c r="AN21" i="24"/>
  <c r="AM21" i="24"/>
  <c r="AL21" i="24"/>
  <c r="AK21" i="24"/>
  <c r="AJ21" i="24"/>
  <c r="AI21" i="24"/>
  <c r="V21" i="24"/>
  <c r="BC6" i="24" s="1"/>
  <c r="BB6" i="24" s="1"/>
  <c r="U21" i="24"/>
  <c r="BC5" i="24" s="1"/>
  <c r="T21" i="24"/>
  <c r="BC4" i="24" s="1"/>
  <c r="BB4" i="24" s="1"/>
  <c r="S21" i="24"/>
  <c r="BC3" i="24" s="1"/>
  <c r="AN20" i="24"/>
  <c r="AM20" i="24"/>
  <c r="AL20" i="24"/>
  <c r="AK20" i="24"/>
  <c r="AJ20" i="24"/>
  <c r="AI20" i="24"/>
  <c r="BC19" i="24"/>
  <c r="AN19" i="24"/>
  <c r="AM19" i="24"/>
  <c r="AL19" i="24"/>
  <c r="AK19" i="24"/>
  <c r="AJ19" i="24"/>
  <c r="AI19" i="24"/>
  <c r="AN18" i="24"/>
  <c r="AM18" i="24"/>
  <c r="AL18" i="24"/>
  <c r="AK18" i="24"/>
  <c r="AJ18" i="24"/>
  <c r="AI18" i="24"/>
  <c r="S18" i="24"/>
  <c r="AX2" i="24" s="1"/>
  <c r="R18" i="24"/>
  <c r="AN17" i="24"/>
  <c r="AM17" i="24"/>
  <c r="AL17" i="24"/>
  <c r="AK17" i="24"/>
  <c r="AJ17" i="24"/>
  <c r="AI17" i="24"/>
  <c r="S17" i="24"/>
  <c r="AW2" i="24" s="1"/>
  <c r="R17" i="24"/>
  <c r="AN16" i="24"/>
  <c r="AM16" i="24"/>
  <c r="AL16" i="24"/>
  <c r="AK16" i="24"/>
  <c r="AJ16" i="24"/>
  <c r="AI16" i="24"/>
  <c r="S16" i="24"/>
  <c r="AV2" i="24"/>
  <c r="R16" i="24"/>
  <c r="AN15" i="24"/>
  <c r="AM15" i="24"/>
  <c r="AL15" i="24"/>
  <c r="AK15" i="24"/>
  <c r="AJ15" i="24"/>
  <c r="AI15" i="24"/>
  <c r="S15" i="24"/>
  <c r="AU2" i="24" s="1"/>
  <c r="R15" i="24"/>
  <c r="AI14" i="24"/>
  <c r="AD14" i="24"/>
  <c r="S14" i="24"/>
  <c r="AM2" i="24" s="1"/>
  <c r="AT13" i="24"/>
  <c r="AS13" i="24"/>
  <c r="AM13" i="24"/>
  <c r="AE13" i="24"/>
  <c r="AE26" i="24" s="1"/>
  <c r="AB13" i="24"/>
  <c r="S13" i="24"/>
  <c r="AL2" i="24" s="1"/>
  <c r="AO12" i="24"/>
  <c r="AN12" i="24"/>
  <c r="AM12" i="24"/>
  <c r="AE12" i="24"/>
  <c r="AE25" i="24" s="1"/>
  <c r="AB12" i="24"/>
  <c r="S12" i="24"/>
  <c r="AK2" i="24" s="1"/>
  <c r="M12" i="24"/>
  <c r="AV11" i="24"/>
  <c r="AT11" i="24"/>
  <c r="AR11" i="24"/>
  <c r="AQ11" i="24"/>
  <c r="AP11" i="24"/>
  <c r="AE11" i="24"/>
  <c r="AE24" i="24" s="1"/>
  <c r="AB11" i="24"/>
  <c r="S11" i="24"/>
  <c r="AJ2" i="24" s="1"/>
  <c r="M11" i="24"/>
  <c r="AQ10" i="24"/>
  <c r="AJ10" i="24"/>
  <c r="AG10" i="24"/>
  <c r="AE10" i="24"/>
  <c r="AE23" i="24" s="1"/>
  <c r="AB10" i="24"/>
  <c r="S10" i="24"/>
  <c r="AI2" i="24" s="1"/>
  <c r="M10" i="24"/>
  <c r="AW9" i="24"/>
  <c r="AO9" i="24"/>
  <c r="AM9" i="24"/>
  <c r="AK9" i="24"/>
  <c r="AE9" i="24"/>
  <c r="AE22" i="24" s="1"/>
  <c r="AB9" i="24"/>
  <c r="S9" i="24"/>
  <c r="AG2" i="24" s="1"/>
  <c r="M9" i="24"/>
  <c r="AU8" i="24"/>
  <c r="AS8" i="24"/>
  <c r="AR8" i="24"/>
  <c r="AP8" i="24"/>
  <c r="AL8" i="24"/>
  <c r="AK8" i="24"/>
  <c r="AE8" i="24"/>
  <c r="AE21" i="24" s="1"/>
  <c r="AB8" i="24"/>
  <c r="S8" i="24"/>
  <c r="AF2" i="24" s="1"/>
  <c r="M8" i="24"/>
  <c r="AS7" i="24"/>
  <c r="AO7" i="24"/>
  <c r="AJ7" i="24"/>
  <c r="AE7" i="24"/>
  <c r="AE20" i="24" s="1"/>
  <c r="AB7" i="24"/>
  <c r="S7" i="24"/>
  <c r="AQ2" i="24"/>
  <c r="AW6" i="24"/>
  <c r="AR6" i="24"/>
  <c r="AJ6" i="24"/>
  <c r="AE6" i="24"/>
  <c r="AE19" i="24" s="1"/>
  <c r="AB6" i="24"/>
  <c r="AL5" i="24"/>
  <c r="AK5" i="24"/>
  <c r="AE5" i="24"/>
  <c r="AE18" i="24" s="1"/>
  <c r="AB5" i="24"/>
  <c r="AX4" i="24"/>
  <c r="AQ4" i="24"/>
  <c r="AF4" i="24"/>
  <c r="AE4" i="24"/>
  <c r="AE17" i="24" s="1"/>
  <c r="AB4" i="24"/>
  <c r="AU3" i="24"/>
  <c r="AS3" i="24"/>
  <c r="AQ3" i="24"/>
  <c r="AE3" i="24"/>
  <c r="AE16" i="24" s="1"/>
  <c r="AB3" i="24"/>
  <c r="AT2" i="24"/>
  <c r="AE2" i="24"/>
  <c r="AE15" i="24" s="1"/>
  <c r="AB2" i="24"/>
  <c r="A1" i="5"/>
  <c r="O9" i="8"/>
  <c r="B4" i="8"/>
  <c r="J2" i="8"/>
  <c r="N2" i="12"/>
  <c r="N2" i="13"/>
  <c r="I2" i="9"/>
  <c r="I2" i="10"/>
  <c r="I2" i="11"/>
  <c r="J20" i="18"/>
  <c r="I4" i="18"/>
  <c r="H13" i="17"/>
  <c r="A2" i="17"/>
  <c r="H13" i="4"/>
  <c r="K1" i="16"/>
  <c r="E1" i="16"/>
  <c r="E19" i="21"/>
  <c r="E18" i="21"/>
  <c r="D19" i="21"/>
  <c r="D18" i="21"/>
  <c r="F18" i="21" s="1"/>
  <c r="W11" i="18"/>
  <c r="W9" i="18"/>
  <c r="W10" i="18" s="1"/>
  <c r="AF7" i="12"/>
  <c r="AF8" i="12"/>
  <c r="AF9" i="12"/>
  <c r="AF10" i="12"/>
  <c r="AF11" i="12"/>
  <c r="AF12" i="12"/>
  <c r="AF13" i="12"/>
  <c r="AF14" i="12"/>
  <c r="AF15" i="12"/>
  <c r="AF16" i="12"/>
  <c r="AF17" i="12"/>
  <c r="AF18" i="12"/>
  <c r="AF19" i="12"/>
  <c r="AF20" i="12"/>
  <c r="AF21" i="12"/>
  <c r="AF22" i="12"/>
  <c r="AF23" i="12"/>
  <c r="AF24" i="12"/>
  <c r="AF25" i="12"/>
  <c r="AF26" i="12"/>
  <c r="AF27" i="12"/>
  <c r="AF28" i="12"/>
  <c r="AF29" i="12"/>
  <c r="AF30" i="12"/>
  <c r="AF31" i="12"/>
  <c r="AF32" i="12"/>
  <c r="AF33" i="12"/>
  <c r="AF34" i="12"/>
  <c r="AF35" i="12"/>
  <c r="AF36" i="12"/>
  <c r="AF37" i="12"/>
  <c r="AF38" i="12"/>
  <c r="AF39" i="12"/>
  <c r="AF40" i="12"/>
  <c r="AF41" i="12"/>
  <c r="AF42" i="12"/>
  <c r="AF43" i="12"/>
  <c r="AF44" i="12"/>
  <c r="AF45" i="12"/>
  <c r="AF46" i="12"/>
  <c r="AF47" i="12"/>
  <c r="AF48" i="12"/>
  <c r="AF50" i="12"/>
  <c r="AF51" i="12"/>
  <c r="AF52" i="12"/>
  <c r="AF53" i="12"/>
  <c r="AF54" i="12"/>
  <c r="AF55" i="12"/>
  <c r="AF56" i="12"/>
  <c r="AF57" i="12"/>
  <c r="AF58" i="12"/>
  <c r="AF59" i="12"/>
  <c r="AF60" i="12"/>
  <c r="AF61" i="12"/>
  <c r="AF62" i="12"/>
  <c r="AF63" i="12"/>
  <c r="AF64" i="12"/>
  <c r="AF65" i="12"/>
  <c r="AF66" i="12"/>
  <c r="AF67" i="12"/>
  <c r="AF68" i="12"/>
  <c r="AF69" i="12"/>
  <c r="AF70" i="12"/>
  <c r="AF71" i="12"/>
  <c r="AF72" i="12"/>
  <c r="AF73" i="12"/>
  <c r="AF74" i="12"/>
  <c r="AF75" i="12"/>
  <c r="AF76" i="12"/>
  <c r="AF77" i="12"/>
  <c r="AF78" i="12"/>
  <c r="AF79" i="12"/>
  <c r="AF80" i="12"/>
  <c r="AF81" i="12"/>
  <c r="AF82" i="12"/>
  <c r="AF83" i="12"/>
  <c r="AF84" i="12"/>
  <c r="AF85" i="12"/>
  <c r="AF86" i="12"/>
  <c r="AF87" i="12"/>
  <c r="AF88" i="12"/>
  <c r="AF89" i="12"/>
  <c r="AF90" i="12"/>
  <c r="AF91" i="12"/>
  <c r="AF92" i="12"/>
  <c r="AF93" i="12"/>
  <c r="AF94" i="12"/>
  <c r="AF95" i="12"/>
  <c r="AF96" i="12"/>
  <c r="AF97" i="12"/>
  <c r="AF98" i="12"/>
  <c r="AF99" i="12"/>
  <c r="AF100" i="12"/>
  <c r="AF101" i="12"/>
  <c r="AF102" i="12"/>
  <c r="AF103" i="12"/>
  <c r="AF104" i="12"/>
  <c r="AF105" i="12"/>
  <c r="AF106" i="12"/>
  <c r="AF107" i="12"/>
  <c r="AF108" i="12"/>
  <c r="AF109" i="12"/>
  <c r="AF110" i="12"/>
  <c r="AF111" i="12"/>
  <c r="AF112" i="12"/>
  <c r="AF113" i="12"/>
  <c r="AF114" i="12"/>
  <c r="AF115" i="12"/>
  <c r="AF116" i="12"/>
  <c r="AF117" i="12"/>
  <c r="AF118" i="12"/>
  <c r="AF119" i="12"/>
  <c r="AF120" i="12"/>
  <c r="AF121" i="12"/>
  <c r="AF122" i="12"/>
  <c r="AF123" i="12"/>
  <c r="AF124" i="12"/>
  <c r="AF125" i="12"/>
  <c r="AF126" i="12"/>
  <c r="AF127" i="12"/>
  <c r="AF128" i="12"/>
  <c r="AF129" i="12"/>
  <c r="AF130" i="12"/>
  <c r="AF131" i="12"/>
  <c r="AF132" i="12"/>
  <c r="AF133" i="12"/>
  <c r="AF134" i="12"/>
  <c r="AF135" i="12"/>
  <c r="AF136" i="12"/>
  <c r="AF137" i="12"/>
  <c r="AF138" i="12"/>
  <c r="AF139" i="12"/>
  <c r="AF140" i="12"/>
  <c r="AF141" i="12"/>
  <c r="AF142" i="12"/>
  <c r="AF143" i="12"/>
  <c r="AF144" i="12"/>
  <c r="AF145" i="12"/>
  <c r="AF146" i="12"/>
  <c r="AF147" i="12"/>
  <c r="AF148" i="12"/>
  <c r="AF149" i="12"/>
  <c r="AF150" i="12"/>
  <c r="AF151" i="12"/>
  <c r="AF152" i="12"/>
  <c r="AF153" i="12"/>
  <c r="AF154" i="12"/>
  <c r="AF155" i="12"/>
  <c r="AF156" i="12"/>
  <c r="AF157" i="12"/>
  <c r="AF158" i="12"/>
  <c r="AF159" i="12"/>
  <c r="AF160" i="12"/>
  <c r="AF161" i="12"/>
  <c r="AF162" i="12"/>
  <c r="AF163" i="12"/>
  <c r="AF164" i="12"/>
  <c r="AF165" i="12"/>
  <c r="AF166" i="12"/>
  <c r="AF167" i="12"/>
  <c r="AF168" i="12"/>
  <c r="AF169" i="12"/>
  <c r="AF170" i="12"/>
  <c r="AF171" i="12"/>
  <c r="AF172" i="12"/>
  <c r="AF173" i="12"/>
  <c r="AF174" i="12"/>
  <c r="AF175" i="12"/>
  <c r="AF176" i="12"/>
  <c r="AF177" i="12"/>
  <c r="AF178" i="12"/>
  <c r="AF179" i="12"/>
  <c r="AF180" i="12"/>
  <c r="AF181" i="12"/>
  <c r="AF182" i="12"/>
  <c r="AF183" i="12"/>
  <c r="AF184" i="12"/>
  <c r="AF185" i="12"/>
  <c r="AF186" i="12"/>
  <c r="AF187" i="12"/>
  <c r="AF188" i="12"/>
  <c r="AF189" i="12"/>
  <c r="AF190" i="12"/>
  <c r="AF191" i="12"/>
  <c r="AF192" i="12"/>
  <c r="AF193" i="12"/>
  <c r="AF194" i="12"/>
  <c r="AF195" i="12"/>
  <c r="AF196" i="12"/>
  <c r="AF197" i="12"/>
  <c r="AF198" i="12"/>
  <c r="AF199" i="12"/>
  <c r="AF200" i="12"/>
  <c r="AF201" i="12"/>
  <c r="AF202" i="12"/>
  <c r="AF203" i="12"/>
  <c r="AF204" i="12"/>
  <c r="AF205" i="12"/>
  <c r="AF206" i="12"/>
  <c r="AF207" i="12"/>
  <c r="AF208" i="12"/>
  <c r="AF209" i="12"/>
  <c r="AF210" i="12"/>
  <c r="AF211" i="12"/>
  <c r="AF212" i="12"/>
  <c r="AF213" i="12"/>
  <c r="AF214" i="12"/>
  <c r="AF215" i="12"/>
  <c r="AF216" i="12"/>
  <c r="AF217" i="12"/>
  <c r="AF218" i="12"/>
  <c r="AF219" i="12"/>
  <c r="AF220" i="12"/>
  <c r="AF221" i="12"/>
  <c r="AF222" i="12"/>
  <c r="AF223" i="12"/>
  <c r="AF224" i="12"/>
  <c r="AF225" i="12"/>
  <c r="AF226" i="12"/>
  <c r="AF227" i="12"/>
  <c r="AF228" i="12"/>
  <c r="AF229" i="12"/>
  <c r="AF230" i="12"/>
  <c r="AF231" i="12"/>
  <c r="AF232" i="12"/>
  <c r="AF233" i="12"/>
  <c r="AF234" i="12"/>
  <c r="AF235" i="12"/>
  <c r="AF236" i="12"/>
  <c r="AF237" i="12"/>
  <c r="AF238" i="12"/>
  <c r="AF239" i="12"/>
  <c r="AF240" i="12"/>
  <c r="AF241" i="12"/>
  <c r="AF242" i="12"/>
  <c r="AF243" i="12"/>
  <c r="AF244" i="12"/>
  <c r="AF245" i="12"/>
  <c r="AF246" i="12"/>
  <c r="AF247" i="12"/>
  <c r="AF248" i="12"/>
  <c r="AF249" i="12"/>
  <c r="AF250" i="12"/>
  <c r="AF251" i="12"/>
  <c r="AF252" i="12"/>
  <c r="AF253" i="12"/>
  <c r="AF254" i="12"/>
  <c r="AF255" i="12"/>
  <c r="AF256" i="12"/>
  <c r="AF257" i="12"/>
  <c r="AF258" i="12"/>
  <c r="AF259" i="12"/>
  <c r="AF260" i="12"/>
  <c r="AF261" i="12"/>
  <c r="AF262" i="12"/>
  <c r="AF263" i="12"/>
  <c r="AF264" i="12"/>
  <c r="AF265" i="12"/>
  <c r="AF266" i="12"/>
  <c r="AF267" i="12"/>
  <c r="AF268" i="12"/>
  <c r="AF269" i="12"/>
  <c r="AF270" i="12"/>
  <c r="AF271" i="12"/>
  <c r="AF272" i="12"/>
  <c r="AF273" i="12"/>
  <c r="AF274" i="12"/>
  <c r="AF275" i="12"/>
  <c r="AF276" i="12"/>
  <c r="AF277" i="12"/>
  <c r="AF278" i="12"/>
  <c r="AF279" i="12"/>
  <c r="AF280" i="12"/>
  <c r="AF281" i="12"/>
  <c r="AF282" i="12"/>
  <c r="AF283" i="12"/>
  <c r="AF284" i="12"/>
  <c r="AF285" i="12"/>
  <c r="AF286" i="12"/>
  <c r="AF287" i="12"/>
  <c r="AF288" i="12"/>
  <c r="AF289" i="12"/>
  <c r="AF290" i="12"/>
  <c r="AF291" i="12"/>
  <c r="AF292" i="12"/>
  <c r="AF293" i="12"/>
  <c r="AF294" i="12"/>
  <c r="AF295" i="12"/>
  <c r="AF296" i="12"/>
  <c r="AF297" i="12"/>
  <c r="AF298" i="12"/>
  <c r="AF299" i="12"/>
  <c r="AE7" i="12"/>
  <c r="AE8" i="12"/>
  <c r="AE9" i="12"/>
  <c r="AE10" i="12"/>
  <c r="AE11" i="12"/>
  <c r="AE12" i="12"/>
  <c r="AE13" i="12"/>
  <c r="AE14" i="12"/>
  <c r="AE15" i="12"/>
  <c r="AE16" i="12"/>
  <c r="AE17" i="12"/>
  <c r="AE18" i="12"/>
  <c r="AE19" i="12"/>
  <c r="AE20" i="12"/>
  <c r="AE21" i="12"/>
  <c r="AE22" i="12"/>
  <c r="AE23" i="12"/>
  <c r="AE24" i="12"/>
  <c r="AE25" i="12"/>
  <c r="AE26" i="12"/>
  <c r="AE27" i="12"/>
  <c r="AE28" i="12"/>
  <c r="AE29" i="12"/>
  <c r="AE30" i="12"/>
  <c r="AE31" i="12"/>
  <c r="AE32" i="12"/>
  <c r="AE33" i="12"/>
  <c r="AE34" i="12"/>
  <c r="AE35" i="12"/>
  <c r="AE36" i="12"/>
  <c r="AE37" i="12"/>
  <c r="AE38" i="12"/>
  <c r="AE39" i="12"/>
  <c r="AE40" i="12"/>
  <c r="AE41" i="12"/>
  <c r="AE42" i="12"/>
  <c r="AE43" i="12"/>
  <c r="AE44" i="12"/>
  <c r="AE45" i="12"/>
  <c r="AE46" i="12"/>
  <c r="AE47" i="12"/>
  <c r="AE48" i="12"/>
  <c r="AE50" i="12"/>
  <c r="AE51" i="12"/>
  <c r="AE52" i="12"/>
  <c r="AE53" i="12"/>
  <c r="AE54" i="12"/>
  <c r="AE55" i="12"/>
  <c r="AE56" i="12"/>
  <c r="AE57" i="12"/>
  <c r="AE58" i="12"/>
  <c r="AE59" i="12"/>
  <c r="AE60" i="12"/>
  <c r="AE61" i="12"/>
  <c r="AE62" i="12"/>
  <c r="AE63" i="12"/>
  <c r="AE64" i="12"/>
  <c r="AE65" i="12"/>
  <c r="AE66" i="12"/>
  <c r="AE67" i="12"/>
  <c r="AE68" i="12"/>
  <c r="AE69" i="12"/>
  <c r="AE70" i="12"/>
  <c r="AE71" i="12"/>
  <c r="AE72" i="12"/>
  <c r="AE73" i="12"/>
  <c r="AE74" i="12"/>
  <c r="AE75" i="12"/>
  <c r="AE76" i="12"/>
  <c r="AE77" i="12"/>
  <c r="AE78" i="12"/>
  <c r="AE79" i="12"/>
  <c r="AE80" i="12"/>
  <c r="AE81" i="12"/>
  <c r="AE82" i="12"/>
  <c r="AE83" i="12"/>
  <c r="AE84" i="12"/>
  <c r="AE85" i="12"/>
  <c r="AE86" i="12"/>
  <c r="AE87" i="12"/>
  <c r="AE88" i="12"/>
  <c r="AE89" i="12"/>
  <c r="AE90" i="12"/>
  <c r="AE91" i="12"/>
  <c r="AE92" i="12"/>
  <c r="AE93" i="12"/>
  <c r="AE94" i="12"/>
  <c r="AE95" i="12"/>
  <c r="AE96" i="12"/>
  <c r="AE97" i="12"/>
  <c r="AE98" i="12"/>
  <c r="AE99" i="12"/>
  <c r="AE100" i="12"/>
  <c r="AE101" i="12"/>
  <c r="AE102" i="12"/>
  <c r="AE103" i="12"/>
  <c r="AE104" i="12"/>
  <c r="AE105" i="12"/>
  <c r="AE106" i="12"/>
  <c r="AE107" i="12"/>
  <c r="AE108" i="12"/>
  <c r="AE109" i="12"/>
  <c r="AE110" i="12"/>
  <c r="AE111" i="12"/>
  <c r="AE112" i="12"/>
  <c r="AE113" i="12"/>
  <c r="AE114" i="12"/>
  <c r="AE115" i="12"/>
  <c r="AE116" i="12"/>
  <c r="AE117" i="12"/>
  <c r="AE118" i="12"/>
  <c r="AE119" i="12"/>
  <c r="AE120" i="12"/>
  <c r="AE121" i="12"/>
  <c r="AE122" i="12"/>
  <c r="AE123" i="12"/>
  <c r="AE124" i="12"/>
  <c r="AE125" i="12"/>
  <c r="AE126" i="12"/>
  <c r="AE127" i="12"/>
  <c r="AE128" i="12"/>
  <c r="AE129" i="12"/>
  <c r="AE130" i="12"/>
  <c r="AE131" i="12"/>
  <c r="AE132" i="12"/>
  <c r="AE133" i="12"/>
  <c r="AE134" i="12"/>
  <c r="AE135" i="12"/>
  <c r="AE136" i="12"/>
  <c r="AE137" i="12"/>
  <c r="AE138" i="12"/>
  <c r="AE139" i="12"/>
  <c r="AE140" i="12"/>
  <c r="AE141" i="12"/>
  <c r="AE142" i="12"/>
  <c r="AE143" i="12"/>
  <c r="AE144" i="12"/>
  <c r="AE145" i="12"/>
  <c r="AE146" i="12"/>
  <c r="AE147" i="12"/>
  <c r="AE148" i="12"/>
  <c r="AE149" i="12"/>
  <c r="AE150" i="12"/>
  <c r="AE151" i="12"/>
  <c r="AE152" i="12"/>
  <c r="AE153" i="12"/>
  <c r="AE154" i="12"/>
  <c r="AE155" i="12"/>
  <c r="AE156" i="12"/>
  <c r="AE157" i="12"/>
  <c r="AE158" i="12"/>
  <c r="AE159" i="12"/>
  <c r="AE160" i="12"/>
  <c r="AE161" i="12"/>
  <c r="AE162" i="12"/>
  <c r="AE163" i="12"/>
  <c r="AE164" i="12"/>
  <c r="AE165" i="12"/>
  <c r="AE166" i="12"/>
  <c r="AE167" i="12"/>
  <c r="AE168" i="12"/>
  <c r="AE169" i="12"/>
  <c r="AE170" i="12"/>
  <c r="AE171" i="12"/>
  <c r="AE172" i="12"/>
  <c r="AE173" i="12"/>
  <c r="AE174" i="12"/>
  <c r="AE175" i="12"/>
  <c r="AE176" i="12"/>
  <c r="AE177" i="12"/>
  <c r="AE178" i="12"/>
  <c r="AE179" i="12"/>
  <c r="AE180" i="12"/>
  <c r="AE181" i="12"/>
  <c r="AE182" i="12"/>
  <c r="AE183" i="12"/>
  <c r="AE184" i="12"/>
  <c r="AE185" i="12"/>
  <c r="AE186" i="12"/>
  <c r="AE187" i="12"/>
  <c r="AE188" i="12"/>
  <c r="AE189" i="12"/>
  <c r="AE190" i="12"/>
  <c r="AE191" i="12"/>
  <c r="AE192" i="12"/>
  <c r="AE193" i="12"/>
  <c r="AE194" i="12"/>
  <c r="AE195" i="12"/>
  <c r="AE196" i="12"/>
  <c r="AE197" i="12"/>
  <c r="AE198" i="12"/>
  <c r="AE199" i="12"/>
  <c r="AE200" i="12"/>
  <c r="AE201" i="12"/>
  <c r="AE202" i="12"/>
  <c r="AE203" i="12"/>
  <c r="AE204" i="12"/>
  <c r="AE205" i="12"/>
  <c r="AE206" i="12"/>
  <c r="AE207" i="12"/>
  <c r="AE208" i="12"/>
  <c r="AE209" i="12"/>
  <c r="AE210" i="12"/>
  <c r="AE211" i="12"/>
  <c r="AE212" i="12"/>
  <c r="AE213" i="12"/>
  <c r="AE214" i="12"/>
  <c r="AE215" i="12"/>
  <c r="AE216" i="12"/>
  <c r="AE217" i="12"/>
  <c r="AE218" i="12"/>
  <c r="AE219" i="12"/>
  <c r="AE220" i="12"/>
  <c r="AE221" i="12"/>
  <c r="AE222" i="12"/>
  <c r="AE223" i="12"/>
  <c r="AE224" i="12"/>
  <c r="AE225" i="12"/>
  <c r="AE226" i="12"/>
  <c r="AE227" i="12"/>
  <c r="AE228" i="12"/>
  <c r="AE229" i="12"/>
  <c r="AE230" i="12"/>
  <c r="AE231" i="12"/>
  <c r="AE232" i="12"/>
  <c r="AE233" i="12"/>
  <c r="AE234" i="12"/>
  <c r="AE235" i="12"/>
  <c r="AE236" i="12"/>
  <c r="AE237" i="12"/>
  <c r="AE238" i="12"/>
  <c r="AE239" i="12"/>
  <c r="AE240" i="12"/>
  <c r="AE241" i="12"/>
  <c r="AE242" i="12"/>
  <c r="AE243" i="12"/>
  <c r="AE244" i="12"/>
  <c r="AE245" i="12"/>
  <c r="AE246" i="12"/>
  <c r="AE247" i="12"/>
  <c r="AE248" i="12"/>
  <c r="AE249" i="12"/>
  <c r="AE250" i="12"/>
  <c r="AE251" i="12"/>
  <c r="AE252" i="12"/>
  <c r="AE253" i="12"/>
  <c r="AE254" i="12"/>
  <c r="AE255" i="12"/>
  <c r="AE256" i="12"/>
  <c r="AE257" i="12"/>
  <c r="AE258" i="12"/>
  <c r="AE259" i="12"/>
  <c r="AE260" i="12"/>
  <c r="AE261" i="12"/>
  <c r="AE262" i="12"/>
  <c r="AE263" i="12"/>
  <c r="AE264" i="12"/>
  <c r="AE265" i="12"/>
  <c r="AE266" i="12"/>
  <c r="AE267" i="12"/>
  <c r="AE268" i="12"/>
  <c r="AE269" i="12"/>
  <c r="AE270" i="12"/>
  <c r="AE271" i="12"/>
  <c r="AE272" i="12"/>
  <c r="AE273" i="12"/>
  <c r="AE274" i="12"/>
  <c r="AE275" i="12"/>
  <c r="AE276" i="12"/>
  <c r="AE277" i="12"/>
  <c r="AE278" i="12"/>
  <c r="AE279" i="12"/>
  <c r="AE280" i="12"/>
  <c r="AE281" i="12"/>
  <c r="AE282" i="12"/>
  <c r="AE283" i="12"/>
  <c r="AE284" i="12"/>
  <c r="AE285" i="12"/>
  <c r="AE286" i="12"/>
  <c r="AE287" i="12"/>
  <c r="AE288" i="12"/>
  <c r="AE289" i="12"/>
  <c r="AE290" i="12"/>
  <c r="AE291" i="12"/>
  <c r="AE292" i="12"/>
  <c r="AE293" i="12"/>
  <c r="AE294" i="12"/>
  <c r="AE295" i="12"/>
  <c r="AE296" i="12"/>
  <c r="AE297" i="12"/>
  <c r="AE298" i="12"/>
  <c r="AE299" i="12"/>
  <c r="AD7" i="12"/>
  <c r="AD8" i="12"/>
  <c r="AD9" i="12"/>
  <c r="AD10" i="12"/>
  <c r="AD11" i="12"/>
  <c r="AD12" i="12"/>
  <c r="AD13" i="12"/>
  <c r="AD14" i="12"/>
  <c r="AD15" i="12"/>
  <c r="AD16" i="12"/>
  <c r="AD17" i="12"/>
  <c r="AD18" i="12"/>
  <c r="AD19" i="12"/>
  <c r="AD20" i="12"/>
  <c r="AD21" i="12"/>
  <c r="AD22" i="12"/>
  <c r="AD23" i="12"/>
  <c r="AD24" i="12"/>
  <c r="AD25" i="12"/>
  <c r="AD26" i="12"/>
  <c r="AD27" i="12"/>
  <c r="AD28" i="12"/>
  <c r="AD29" i="12"/>
  <c r="AD30" i="12"/>
  <c r="AD31" i="12"/>
  <c r="AD32" i="12"/>
  <c r="AD33" i="12"/>
  <c r="AD34" i="12"/>
  <c r="AD35" i="12"/>
  <c r="AD36" i="12"/>
  <c r="AD37" i="12"/>
  <c r="AD38" i="12"/>
  <c r="AD39" i="12"/>
  <c r="AD40" i="12"/>
  <c r="AD41" i="12"/>
  <c r="AD42" i="12"/>
  <c r="AD43" i="12"/>
  <c r="AD44" i="12"/>
  <c r="AD45" i="12"/>
  <c r="AD46" i="12"/>
  <c r="AD47" i="12"/>
  <c r="AD48" i="12"/>
  <c r="AD50" i="12"/>
  <c r="AD51" i="12"/>
  <c r="AD52" i="12"/>
  <c r="AD53" i="12"/>
  <c r="AD54" i="12"/>
  <c r="AD55" i="12"/>
  <c r="AD56" i="12"/>
  <c r="AD57" i="12"/>
  <c r="AD58" i="12"/>
  <c r="AD59" i="12"/>
  <c r="AD60" i="12"/>
  <c r="AD61" i="12"/>
  <c r="AD62" i="12"/>
  <c r="AD63" i="12"/>
  <c r="AD64" i="12"/>
  <c r="AD65" i="12"/>
  <c r="AD66" i="12"/>
  <c r="AD67" i="12"/>
  <c r="AD68" i="12"/>
  <c r="AD69" i="12"/>
  <c r="AD70" i="12"/>
  <c r="AD71" i="12"/>
  <c r="AD72" i="12"/>
  <c r="AD73" i="12"/>
  <c r="AD74" i="12"/>
  <c r="AD75" i="12"/>
  <c r="AD76" i="12"/>
  <c r="AD77" i="12"/>
  <c r="AD78" i="12"/>
  <c r="AD79" i="12"/>
  <c r="AD80" i="12"/>
  <c r="AD81" i="12"/>
  <c r="AD82" i="12"/>
  <c r="AD83" i="12"/>
  <c r="AD84" i="12"/>
  <c r="AD85" i="12"/>
  <c r="AD86" i="12"/>
  <c r="AD87" i="12"/>
  <c r="AD88" i="12"/>
  <c r="AD89" i="12"/>
  <c r="AD90" i="12"/>
  <c r="AD91" i="12"/>
  <c r="AD92" i="12"/>
  <c r="AD93" i="12"/>
  <c r="AD94" i="12"/>
  <c r="AD95" i="12"/>
  <c r="AD96" i="12"/>
  <c r="AD97" i="12"/>
  <c r="AD98" i="12"/>
  <c r="AD99" i="12"/>
  <c r="AD100" i="12"/>
  <c r="AD101" i="12"/>
  <c r="AD102" i="12"/>
  <c r="AD103" i="12"/>
  <c r="AD104" i="12"/>
  <c r="AD105" i="12"/>
  <c r="AD106" i="12"/>
  <c r="AD107" i="12"/>
  <c r="AD108" i="12"/>
  <c r="AD109" i="12"/>
  <c r="AD110" i="12"/>
  <c r="AD111" i="12"/>
  <c r="AD112" i="12"/>
  <c r="AD113" i="12"/>
  <c r="AD114" i="12"/>
  <c r="AD115" i="12"/>
  <c r="AD116" i="12"/>
  <c r="AD117" i="12"/>
  <c r="AD118" i="12"/>
  <c r="AD119" i="12"/>
  <c r="AD120" i="12"/>
  <c r="AD121" i="12"/>
  <c r="AD122" i="12"/>
  <c r="AD123" i="12"/>
  <c r="AD124" i="12"/>
  <c r="AD125" i="12"/>
  <c r="AD126" i="12"/>
  <c r="AD127" i="12"/>
  <c r="AD128" i="12"/>
  <c r="AD129" i="12"/>
  <c r="AD130" i="12"/>
  <c r="AD131" i="12"/>
  <c r="AD132" i="12"/>
  <c r="AD133" i="12"/>
  <c r="AD134" i="12"/>
  <c r="AD135" i="12"/>
  <c r="AD136" i="12"/>
  <c r="AD137" i="12"/>
  <c r="AD138" i="12"/>
  <c r="AD139" i="12"/>
  <c r="AD140" i="12"/>
  <c r="AD141" i="12"/>
  <c r="AD142" i="12"/>
  <c r="AD143" i="12"/>
  <c r="AD144" i="12"/>
  <c r="AD145" i="12"/>
  <c r="AD146" i="12"/>
  <c r="AD147" i="12"/>
  <c r="AD148" i="12"/>
  <c r="AD149" i="12"/>
  <c r="AD150" i="12"/>
  <c r="AD151" i="12"/>
  <c r="AD152" i="12"/>
  <c r="AD153" i="12"/>
  <c r="AD154" i="12"/>
  <c r="AD155" i="12"/>
  <c r="AD156" i="12"/>
  <c r="AD157" i="12"/>
  <c r="AD158" i="12"/>
  <c r="AD159" i="12"/>
  <c r="AD160" i="12"/>
  <c r="AD161" i="12"/>
  <c r="AD162" i="12"/>
  <c r="AD163" i="12"/>
  <c r="AD164" i="12"/>
  <c r="AD165" i="12"/>
  <c r="AD166" i="12"/>
  <c r="AD167" i="12"/>
  <c r="AD168" i="12"/>
  <c r="AD169" i="12"/>
  <c r="AD170" i="12"/>
  <c r="AD171" i="12"/>
  <c r="AD172" i="12"/>
  <c r="AD173" i="12"/>
  <c r="AD174" i="12"/>
  <c r="AD175" i="12"/>
  <c r="AD176" i="12"/>
  <c r="AD177" i="12"/>
  <c r="AD178" i="12"/>
  <c r="AD179" i="12"/>
  <c r="AD180" i="12"/>
  <c r="AD181" i="12"/>
  <c r="AD182" i="12"/>
  <c r="AD183" i="12"/>
  <c r="AD184" i="12"/>
  <c r="AD185" i="12"/>
  <c r="AD186" i="12"/>
  <c r="AD187" i="12"/>
  <c r="AD188" i="12"/>
  <c r="AD189" i="12"/>
  <c r="AD190" i="12"/>
  <c r="AD191" i="12"/>
  <c r="AD192" i="12"/>
  <c r="AD193" i="12"/>
  <c r="AD194" i="12"/>
  <c r="AD195" i="12"/>
  <c r="AD196" i="12"/>
  <c r="AD197" i="12"/>
  <c r="AD198" i="12"/>
  <c r="AD199" i="12"/>
  <c r="AD200" i="12"/>
  <c r="AD201" i="12"/>
  <c r="AD202" i="12"/>
  <c r="AD203" i="12"/>
  <c r="AD204" i="12"/>
  <c r="AD205" i="12"/>
  <c r="AD206" i="12"/>
  <c r="AD207" i="12"/>
  <c r="AD208" i="12"/>
  <c r="AD209" i="12"/>
  <c r="AD210" i="12"/>
  <c r="AD211" i="12"/>
  <c r="AD212" i="12"/>
  <c r="AD213" i="12"/>
  <c r="AD214" i="12"/>
  <c r="AD215" i="12"/>
  <c r="AD216" i="12"/>
  <c r="AD217" i="12"/>
  <c r="AD218" i="12"/>
  <c r="AD219" i="12"/>
  <c r="AD220" i="12"/>
  <c r="AD221" i="12"/>
  <c r="AD222" i="12"/>
  <c r="AD223" i="12"/>
  <c r="AD224" i="12"/>
  <c r="AD225" i="12"/>
  <c r="AD226" i="12"/>
  <c r="AD227" i="12"/>
  <c r="AD228" i="12"/>
  <c r="AD229" i="12"/>
  <c r="AD230" i="12"/>
  <c r="AD231" i="12"/>
  <c r="AD232" i="12"/>
  <c r="AD233" i="12"/>
  <c r="AD234" i="12"/>
  <c r="AD235" i="12"/>
  <c r="AD236" i="12"/>
  <c r="AD237" i="12"/>
  <c r="AD238" i="12"/>
  <c r="AD239" i="12"/>
  <c r="AD240" i="12"/>
  <c r="AD241" i="12"/>
  <c r="AD242" i="12"/>
  <c r="AD243" i="12"/>
  <c r="AD244" i="12"/>
  <c r="AD245" i="12"/>
  <c r="AD246" i="12"/>
  <c r="AD247" i="12"/>
  <c r="AD248" i="12"/>
  <c r="AD249" i="12"/>
  <c r="AD250" i="12"/>
  <c r="AD251" i="12"/>
  <c r="AD252" i="12"/>
  <c r="AD253" i="12"/>
  <c r="AD254" i="12"/>
  <c r="AD255" i="12"/>
  <c r="AD256" i="12"/>
  <c r="AD257" i="12"/>
  <c r="AD258" i="12"/>
  <c r="AD259" i="12"/>
  <c r="AD260" i="12"/>
  <c r="AD261" i="12"/>
  <c r="AD262" i="12"/>
  <c r="AD263" i="12"/>
  <c r="AD264" i="12"/>
  <c r="AD265" i="12"/>
  <c r="AD266" i="12"/>
  <c r="AD267" i="12"/>
  <c r="AD268" i="12"/>
  <c r="AD269" i="12"/>
  <c r="AD270" i="12"/>
  <c r="AD271" i="12"/>
  <c r="AD272" i="12"/>
  <c r="AD273" i="12"/>
  <c r="AD274" i="12"/>
  <c r="AD275" i="12"/>
  <c r="AD276" i="12"/>
  <c r="AD277" i="12"/>
  <c r="AD278" i="12"/>
  <c r="AD279" i="12"/>
  <c r="AD280" i="12"/>
  <c r="AD281" i="12"/>
  <c r="AD282" i="12"/>
  <c r="AD283" i="12"/>
  <c r="AD284" i="12"/>
  <c r="AD285" i="12"/>
  <c r="AD286" i="12"/>
  <c r="AD287" i="12"/>
  <c r="AD288" i="12"/>
  <c r="AD289" i="12"/>
  <c r="AD290" i="12"/>
  <c r="AD291" i="12"/>
  <c r="AD292" i="12"/>
  <c r="AD293" i="12"/>
  <c r="AD294" i="12"/>
  <c r="AD295" i="12"/>
  <c r="AD296" i="12"/>
  <c r="AD297" i="12"/>
  <c r="AD298" i="12"/>
  <c r="AD299" i="12"/>
  <c r="AC7" i="12"/>
  <c r="AC8" i="12"/>
  <c r="AC9" i="12"/>
  <c r="AC10" i="12"/>
  <c r="AC11" i="12"/>
  <c r="AC12" i="12"/>
  <c r="AC13" i="12"/>
  <c r="AC14" i="12"/>
  <c r="AC15" i="12"/>
  <c r="AC16" i="12"/>
  <c r="AC17" i="12"/>
  <c r="AC18" i="12"/>
  <c r="AC19" i="12"/>
  <c r="AC20" i="12"/>
  <c r="AC21" i="12"/>
  <c r="AC22" i="12"/>
  <c r="AC23" i="12"/>
  <c r="AC24" i="12"/>
  <c r="AC25" i="12"/>
  <c r="AC26" i="12"/>
  <c r="AC27" i="12"/>
  <c r="AC28" i="12"/>
  <c r="AC29" i="12"/>
  <c r="AC30" i="12"/>
  <c r="AC31" i="12"/>
  <c r="AC32" i="12"/>
  <c r="AC33" i="12"/>
  <c r="AC34" i="12"/>
  <c r="AC35" i="12"/>
  <c r="AC36" i="12"/>
  <c r="AC37" i="12"/>
  <c r="AC38" i="12"/>
  <c r="AC39" i="12"/>
  <c r="AC40" i="12"/>
  <c r="AC41" i="12"/>
  <c r="AC42" i="12"/>
  <c r="AC43" i="12"/>
  <c r="AC44" i="12"/>
  <c r="AC45" i="12"/>
  <c r="AC46" i="12"/>
  <c r="AC47" i="12"/>
  <c r="AC48"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C101" i="12"/>
  <c r="AC102" i="12"/>
  <c r="AC103" i="12"/>
  <c r="AC104" i="12"/>
  <c r="AC105" i="12"/>
  <c r="AC106" i="12"/>
  <c r="AC107" i="12"/>
  <c r="AC108" i="12"/>
  <c r="AC109" i="12"/>
  <c r="AC110" i="12"/>
  <c r="AC111" i="12"/>
  <c r="AC112" i="12"/>
  <c r="AC113" i="12"/>
  <c r="AC114" i="12"/>
  <c r="AC115" i="12"/>
  <c r="AC116" i="12"/>
  <c r="AC117" i="12"/>
  <c r="AC118" i="12"/>
  <c r="AC119" i="12"/>
  <c r="AC120" i="12"/>
  <c r="AC121" i="12"/>
  <c r="AC122" i="12"/>
  <c r="AC123" i="12"/>
  <c r="AC124" i="12"/>
  <c r="AC125" i="12"/>
  <c r="AC126" i="12"/>
  <c r="AC127" i="12"/>
  <c r="AC128" i="12"/>
  <c r="AC129" i="12"/>
  <c r="AC130" i="12"/>
  <c r="AC131" i="12"/>
  <c r="AC132" i="12"/>
  <c r="AC133" i="12"/>
  <c r="AC134" i="12"/>
  <c r="AC135" i="12"/>
  <c r="AC136" i="12"/>
  <c r="AC137" i="12"/>
  <c r="AC138" i="12"/>
  <c r="AC139" i="12"/>
  <c r="AC140" i="12"/>
  <c r="AC141" i="12"/>
  <c r="AC142" i="12"/>
  <c r="AC143" i="12"/>
  <c r="AC144" i="12"/>
  <c r="AC145" i="12"/>
  <c r="AC146" i="12"/>
  <c r="AC147" i="12"/>
  <c r="AC148" i="12"/>
  <c r="AC149" i="12"/>
  <c r="AC150" i="12"/>
  <c r="AC151" i="12"/>
  <c r="AC152" i="12"/>
  <c r="AC153" i="12"/>
  <c r="AC154" i="12"/>
  <c r="AC155" i="12"/>
  <c r="AC156" i="12"/>
  <c r="AC157" i="12"/>
  <c r="AC158" i="12"/>
  <c r="AC159" i="12"/>
  <c r="AC160" i="12"/>
  <c r="AC161" i="12"/>
  <c r="AC162" i="12"/>
  <c r="AC163" i="12"/>
  <c r="AC164" i="12"/>
  <c r="AC165" i="12"/>
  <c r="AC166" i="12"/>
  <c r="AC167" i="12"/>
  <c r="AC168" i="12"/>
  <c r="AC169" i="12"/>
  <c r="AC170" i="12"/>
  <c r="AC171" i="12"/>
  <c r="AC172" i="12"/>
  <c r="AC173" i="12"/>
  <c r="AC174" i="12"/>
  <c r="AC175" i="12"/>
  <c r="AC176" i="12"/>
  <c r="AC177" i="12"/>
  <c r="AC178" i="12"/>
  <c r="AC179" i="12"/>
  <c r="AC180" i="12"/>
  <c r="AC181" i="12"/>
  <c r="AC182" i="12"/>
  <c r="AC183" i="12"/>
  <c r="AC184" i="12"/>
  <c r="AC185" i="12"/>
  <c r="AC186" i="12"/>
  <c r="AC187" i="12"/>
  <c r="AC188" i="12"/>
  <c r="AC189" i="12"/>
  <c r="AC190" i="12"/>
  <c r="AC191" i="12"/>
  <c r="AC192" i="12"/>
  <c r="AC193" i="12"/>
  <c r="AC194" i="12"/>
  <c r="AC195" i="12"/>
  <c r="AC196" i="12"/>
  <c r="AC197" i="12"/>
  <c r="AC198" i="12"/>
  <c r="AC199" i="12"/>
  <c r="AC200" i="12"/>
  <c r="AC201" i="12"/>
  <c r="AC202" i="12"/>
  <c r="AC203" i="12"/>
  <c r="AC204" i="12"/>
  <c r="AC205" i="12"/>
  <c r="AC206" i="12"/>
  <c r="AC207" i="12"/>
  <c r="AC208" i="12"/>
  <c r="AC209" i="12"/>
  <c r="AC210" i="12"/>
  <c r="AC211" i="12"/>
  <c r="AC212" i="12"/>
  <c r="AC213" i="12"/>
  <c r="AC214" i="12"/>
  <c r="AC215" i="12"/>
  <c r="AC216" i="12"/>
  <c r="AC217" i="12"/>
  <c r="AC218" i="12"/>
  <c r="AC219" i="12"/>
  <c r="AC220" i="12"/>
  <c r="AC221" i="12"/>
  <c r="AC222" i="12"/>
  <c r="AC223" i="12"/>
  <c r="AC224" i="12"/>
  <c r="AC225" i="12"/>
  <c r="AC226" i="12"/>
  <c r="AC227" i="12"/>
  <c r="AC228" i="12"/>
  <c r="AC229" i="12"/>
  <c r="AC230" i="12"/>
  <c r="AC231" i="12"/>
  <c r="AC232" i="12"/>
  <c r="AC233" i="12"/>
  <c r="AC234" i="12"/>
  <c r="AC235" i="12"/>
  <c r="AC236" i="12"/>
  <c r="AC237" i="12"/>
  <c r="AC238" i="12"/>
  <c r="AC239" i="12"/>
  <c r="AC240" i="12"/>
  <c r="AC241" i="12"/>
  <c r="AC242" i="12"/>
  <c r="AC243" i="12"/>
  <c r="AC244" i="12"/>
  <c r="AC245" i="12"/>
  <c r="AC246" i="12"/>
  <c r="AC247" i="12"/>
  <c r="AC248" i="12"/>
  <c r="AC249" i="12"/>
  <c r="AC250" i="12"/>
  <c r="AC251" i="12"/>
  <c r="AC252" i="12"/>
  <c r="AC253" i="12"/>
  <c r="AC254" i="12"/>
  <c r="AC255" i="12"/>
  <c r="AC256" i="12"/>
  <c r="AC257" i="12"/>
  <c r="AC258" i="12"/>
  <c r="AC259" i="12"/>
  <c r="AC260" i="12"/>
  <c r="AC261" i="12"/>
  <c r="AC262" i="12"/>
  <c r="AC263" i="12"/>
  <c r="AC264" i="12"/>
  <c r="AC265" i="12"/>
  <c r="AC266" i="12"/>
  <c r="AC267" i="12"/>
  <c r="AC268" i="12"/>
  <c r="AC269" i="12"/>
  <c r="AC270" i="12"/>
  <c r="AC271" i="12"/>
  <c r="AC272" i="12"/>
  <c r="AC273" i="12"/>
  <c r="AC274" i="12"/>
  <c r="AC275" i="12"/>
  <c r="AC276" i="12"/>
  <c r="AC277" i="12"/>
  <c r="AC278" i="12"/>
  <c r="AC279" i="12"/>
  <c r="AC280" i="12"/>
  <c r="AC281" i="12"/>
  <c r="AC282" i="12"/>
  <c r="AC283" i="12"/>
  <c r="AC284" i="12"/>
  <c r="AC285" i="12"/>
  <c r="AC286" i="12"/>
  <c r="AC287" i="12"/>
  <c r="AC288" i="12"/>
  <c r="AC289" i="12"/>
  <c r="AC290" i="12"/>
  <c r="AC291" i="12"/>
  <c r="AC292" i="12"/>
  <c r="AC293" i="12"/>
  <c r="AC294" i="12"/>
  <c r="AC295" i="12"/>
  <c r="AC296" i="12"/>
  <c r="AC297" i="12"/>
  <c r="AC298" i="12"/>
  <c r="AC299" i="12"/>
  <c r="AB7" i="12"/>
  <c r="AB8" i="12"/>
  <c r="AB9" i="12"/>
  <c r="AB10" i="12"/>
  <c r="AB11" i="12"/>
  <c r="AB12" i="12"/>
  <c r="AB13" i="12"/>
  <c r="AB14" i="12"/>
  <c r="AB15" i="12"/>
  <c r="AB16" i="12"/>
  <c r="AB17" i="12"/>
  <c r="AB18" i="12"/>
  <c r="AB19" i="12"/>
  <c r="AB20" i="12"/>
  <c r="AB21" i="12"/>
  <c r="AB22" i="12"/>
  <c r="AB23" i="12"/>
  <c r="AB24" i="12"/>
  <c r="AB25" i="12"/>
  <c r="AB26" i="12"/>
  <c r="AB27" i="12"/>
  <c r="AB28" i="12"/>
  <c r="AB29" i="12"/>
  <c r="AB30" i="12"/>
  <c r="AB31" i="12"/>
  <c r="AB32" i="12"/>
  <c r="AB33" i="12"/>
  <c r="AB34" i="12"/>
  <c r="AB35" i="12"/>
  <c r="AB36" i="12"/>
  <c r="AB37" i="12"/>
  <c r="AB38" i="12"/>
  <c r="AB39" i="12"/>
  <c r="AB40" i="12"/>
  <c r="AB41" i="12"/>
  <c r="AB42" i="12"/>
  <c r="AB43" i="12"/>
  <c r="AB44" i="12"/>
  <c r="AB45" i="12"/>
  <c r="AB46" i="12"/>
  <c r="AB47" i="12"/>
  <c r="AB48"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B101" i="12"/>
  <c r="AB102" i="12"/>
  <c r="AB103" i="12"/>
  <c r="AB104" i="12"/>
  <c r="AB105" i="12"/>
  <c r="AB106" i="12"/>
  <c r="AB107" i="12"/>
  <c r="AB108" i="12"/>
  <c r="AB109" i="12"/>
  <c r="AB110" i="12"/>
  <c r="AB111" i="12"/>
  <c r="AB112" i="12"/>
  <c r="AB113" i="12"/>
  <c r="AB114" i="12"/>
  <c r="AB115" i="12"/>
  <c r="AB116" i="12"/>
  <c r="AB117" i="12"/>
  <c r="AB118" i="12"/>
  <c r="AB119" i="12"/>
  <c r="AB120" i="12"/>
  <c r="AB121" i="12"/>
  <c r="AB122" i="12"/>
  <c r="AB123" i="12"/>
  <c r="AB124" i="12"/>
  <c r="AB125" i="12"/>
  <c r="AB126" i="12"/>
  <c r="AB127" i="12"/>
  <c r="AB128" i="12"/>
  <c r="AB129" i="12"/>
  <c r="AB130" i="12"/>
  <c r="AB131" i="12"/>
  <c r="AB132" i="12"/>
  <c r="AB133" i="12"/>
  <c r="AB134" i="12"/>
  <c r="AB135" i="12"/>
  <c r="AB136" i="12"/>
  <c r="AB137" i="12"/>
  <c r="AB138" i="12"/>
  <c r="AB139" i="12"/>
  <c r="AB140" i="12"/>
  <c r="AB141" i="12"/>
  <c r="AB142" i="12"/>
  <c r="AB143" i="12"/>
  <c r="AB144" i="12"/>
  <c r="AB145" i="12"/>
  <c r="AB146" i="12"/>
  <c r="AB147" i="12"/>
  <c r="AB148" i="12"/>
  <c r="AB149" i="12"/>
  <c r="AB150" i="12"/>
  <c r="AB151" i="12"/>
  <c r="AB152" i="12"/>
  <c r="AB153" i="12"/>
  <c r="AB154" i="12"/>
  <c r="AB155" i="12"/>
  <c r="AB156" i="12"/>
  <c r="AB157" i="12"/>
  <c r="AB158" i="12"/>
  <c r="AB159" i="12"/>
  <c r="AB160" i="12"/>
  <c r="AB161" i="12"/>
  <c r="AB162" i="12"/>
  <c r="AB163" i="12"/>
  <c r="AB164" i="12"/>
  <c r="AB165" i="12"/>
  <c r="AB166" i="12"/>
  <c r="AB167" i="12"/>
  <c r="AB168" i="12"/>
  <c r="AB169" i="12"/>
  <c r="AB170" i="12"/>
  <c r="AB171" i="12"/>
  <c r="AB172" i="12"/>
  <c r="AB173" i="12"/>
  <c r="AB174" i="12"/>
  <c r="AB175" i="12"/>
  <c r="AB176" i="12"/>
  <c r="AB177" i="12"/>
  <c r="AB178" i="12"/>
  <c r="AB179" i="12"/>
  <c r="AB180" i="12"/>
  <c r="AB181" i="12"/>
  <c r="AB182" i="12"/>
  <c r="AB183" i="12"/>
  <c r="AB184" i="12"/>
  <c r="AB185" i="12"/>
  <c r="AB186" i="12"/>
  <c r="AB187" i="12"/>
  <c r="AB188" i="12"/>
  <c r="AB189" i="12"/>
  <c r="AB190" i="12"/>
  <c r="AB191" i="12"/>
  <c r="AB192" i="12"/>
  <c r="AB193" i="12"/>
  <c r="AB194" i="12"/>
  <c r="AB195" i="12"/>
  <c r="AB196" i="12"/>
  <c r="AB197" i="12"/>
  <c r="AB198" i="12"/>
  <c r="AB199" i="12"/>
  <c r="AB200" i="12"/>
  <c r="AB201" i="12"/>
  <c r="AB202" i="12"/>
  <c r="AB203" i="12"/>
  <c r="AB204" i="12"/>
  <c r="AB205" i="12"/>
  <c r="AB206" i="12"/>
  <c r="AB207" i="12"/>
  <c r="AB208" i="12"/>
  <c r="AB209" i="12"/>
  <c r="AB210" i="12"/>
  <c r="AB211" i="12"/>
  <c r="AB212" i="12"/>
  <c r="AB213" i="12"/>
  <c r="AB214" i="12"/>
  <c r="AB215" i="12"/>
  <c r="AB216" i="12"/>
  <c r="AB217" i="12"/>
  <c r="AB218" i="12"/>
  <c r="AB219" i="12"/>
  <c r="AB220" i="12"/>
  <c r="AB221" i="12"/>
  <c r="AB222" i="12"/>
  <c r="AB223" i="12"/>
  <c r="AB224" i="12"/>
  <c r="AB225" i="12"/>
  <c r="AB226" i="12"/>
  <c r="AB227" i="12"/>
  <c r="AB228" i="12"/>
  <c r="AB229" i="12"/>
  <c r="AB230" i="12"/>
  <c r="AB231" i="12"/>
  <c r="AB232" i="12"/>
  <c r="AB233" i="12"/>
  <c r="AB234" i="12"/>
  <c r="AB235" i="12"/>
  <c r="AB236" i="12"/>
  <c r="AB237" i="12"/>
  <c r="AB238" i="12"/>
  <c r="AB239" i="12"/>
  <c r="AB240" i="12"/>
  <c r="AB241" i="12"/>
  <c r="AB242" i="12"/>
  <c r="AB243" i="12"/>
  <c r="AB244" i="12"/>
  <c r="AB245" i="12"/>
  <c r="AB246" i="12"/>
  <c r="AB247" i="12"/>
  <c r="AB248" i="12"/>
  <c r="AB249" i="12"/>
  <c r="AB250" i="12"/>
  <c r="AB251" i="12"/>
  <c r="AB252" i="12"/>
  <c r="AB253" i="12"/>
  <c r="AB254" i="12"/>
  <c r="AB255" i="12"/>
  <c r="AB256" i="12"/>
  <c r="AB257" i="12"/>
  <c r="AB258" i="12"/>
  <c r="AB259" i="12"/>
  <c r="AB260" i="12"/>
  <c r="AB261" i="12"/>
  <c r="AB262" i="12"/>
  <c r="AB263" i="12"/>
  <c r="AB264" i="12"/>
  <c r="AB265" i="12"/>
  <c r="AB266" i="12"/>
  <c r="AB267" i="12"/>
  <c r="AB268" i="12"/>
  <c r="AB269" i="12"/>
  <c r="AB270" i="12"/>
  <c r="AB271" i="12"/>
  <c r="AB272" i="12"/>
  <c r="AB273" i="12"/>
  <c r="AB274" i="12"/>
  <c r="AB275" i="12"/>
  <c r="AB276" i="12"/>
  <c r="AB277" i="12"/>
  <c r="AB278" i="12"/>
  <c r="AB279" i="12"/>
  <c r="AB280" i="12"/>
  <c r="AB281" i="12"/>
  <c r="AB282" i="12"/>
  <c r="AB283" i="12"/>
  <c r="AB284" i="12"/>
  <c r="AB285" i="12"/>
  <c r="AB286" i="12"/>
  <c r="AB287" i="12"/>
  <c r="AB288" i="12"/>
  <c r="AB289" i="12"/>
  <c r="AB290" i="12"/>
  <c r="AB291" i="12"/>
  <c r="AB292" i="12"/>
  <c r="AB293" i="12"/>
  <c r="AB294" i="12"/>
  <c r="AB295" i="12"/>
  <c r="AB296" i="12"/>
  <c r="AB297" i="12"/>
  <c r="AB298" i="12"/>
  <c r="AB299" i="12"/>
  <c r="AA8" i="12"/>
  <c r="AA9" i="12"/>
  <c r="AA10" i="12"/>
  <c r="AA11" i="12"/>
  <c r="AA12" i="12"/>
  <c r="AA13" i="12"/>
  <c r="AA14" i="12"/>
  <c r="AA15" i="12"/>
  <c r="AA16" i="12"/>
  <c r="AA17" i="12"/>
  <c r="AA18" i="12"/>
  <c r="AA19" i="12"/>
  <c r="AA20" i="12"/>
  <c r="AA21" i="12"/>
  <c r="AA22" i="12"/>
  <c r="AA23" i="12"/>
  <c r="AA24" i="12"/>
  <c r="AA25" i="12"/>
  <c r="AA26" i="12"/>
  <c r="AA27" i="12"/>
  <c r="AA28" i="12"/>
  <c r="AA29" i="12"/>
  <c r="AA30" i="12"/>
  <c r="AA31" i="12"/>
  <c r="AA32" i="12"/>
  <c r="AA33"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AA101" i="12"/>
  <c r="AA102" i="12"/>
  <c r="AA103" i="12"/>
  <c r="AA104" i="12"/>
  <c r="AA105" i="12"/>
  <c r="AA106" i="12"/>
  <c r="AA107" i="12"/>
  <c r="AA108" i="12"/>
  <c r="AA109" i="12"/>
  <c r="AA110" i="12"/>
  <c r="AA111" i="12"/>
  <c r="AA112" i="12"/>
  <c r="AA113" i="12"/>
  <c r="AA114" i="12"/>
  <c r="AA115" i="12"/>
  <c r="AA116" i="12"/>
  <c r="AA117" i="12"/>
  <c r="AA118" i="12"/>
  <c r="AA119" i="12"/>
  <c r="AA120" i="12"/>
  <c r="AA121" i="12"/>
  <c r="AA122" i="12"/>
  <c r="AA123" i="12"/>
  <c r="AA124" i="12"/>
  <c r="AA125" i="12"/>
  <c r="AA126" i="12"/>
  <c r="AA127" i="12"/>
  <c r="AA128" i="12"/>
  <c r="AA129" i="12"/>
  <c r="AA130" i="12"/>
  <c r="AA131" i="12"/>
  <c r="AA132" i="12"/>
  <c r="AA133" i="12"/>
  <c r="AA134" i="12"/>
  <c r="AA135" i="12"/>
  <c r="AA136" i="12"/>
  <c r="AA137" i="12"/>
  <c r="AA138" i="12"/>
  <c r="AA139" i="12"/>
  <c r="AA140" i="12"/>
  <c r="AA141" i="12"/>
  <c r="AA142" i="12"/>
  <c r="AA143" i="12"/>
  <c r="AA144" i="12"/>
  <c r="AA145" i="12"/>
  <c r="AA146" i="12"/>
  <c r="AA147" i="12"/>
  <c r="AA148" i="12"/>
  <c r="AA149" i="12"/>
  <c r="AA150" i="12"/>
  <c r="AA151" i="12"/>
  <c r="AA152" i="12"/>
  <c r="AA153" i="12"/>
  <c r="AA154" i="12"/>
  <c r="AA155" i="12"/>
  <c r="AA156" i="12"/>
  <c r="AA157" i="12"/>
  <c r="AA158" i="12"/>
  <c r="AA159" i="12"/>
  <c r="AA160" i="12"/>
  <c r="AA161" i="12"/>
  <c r="AA162" i="12"/>
  <c r="AA163" i="12"/>
  <c r="AA164" i="12"/>
  <c r="AA165" i="12"/>
  <c r="AA166" i="12"/>
  <c r="AA167" i="12"/>
  <c r="AA168" i="12"/>
  <c r="AA169" i="12"/>
  <c r="AA170" i="12"/>
  <c r="AA171" i="12"/>
  <c r="AA172" i="12"/>
  <c r="AA173" i="12"/>
  <c r="AA174" i="12"/>
  <c r="AA175" i="12"/>
  <c r="AA176" i="12"/>
  <c r="AA177" i="12"/>
  <c r="AA178" i="12"/>
  <c r="AA179" i="12"/>
  <c r="AA180" i="12"/>
  <c r="AA181" i="12"/>
  <c r="AA182" i="12"/>
  <c r="AA183" i="12"/>
  <c r="AA184" i="12"/>
  <c r="AA185" i="12"/>
  <c r="AA186" i="12"/>
  <c r="AA187" i="12"/>
  <c r="AA188" i="12"/>
  <c r="AA189" i="12"/>
  <c r="AA190" i="12"/>
  <c r="AA191" i="12"/>
  <c r="AA192" i="12"/>
  <c r="AA193" i="12"/>
  <c r="AA194" i="12"/>
  <c r="AA195" i="12"/>
  <c r="AA196" i="12"/>
  <c r="AA197" i="12"/>
  <c r="AA198" i="12"/>
  <c r="AA199" i="12"/>
  <c r="AA200" i="12"/>
  <c r="AA201" i="12"/>
  <c r="AA202" i="12"/>
  <c r="AA203" i="12"/>
  <c r="AA204" i="12"/>
  <c r="AA205" i="12"/>
  <c r="AA206" i="12"/>
  <c r="AA207" i="12"/>
  <c r="AA208" i="12"/>
  <c r="AA209" i="12"/>
  <c r="AA210" i="12"/>
  <c r="AA211" i="12"/>
  <c r="AA212" i="12"/>
  <c r="AA213" i="12"/>
  <c r="AA214" i="12"/>
  <c r="AA215" i="12"/>
  <c r="AA216" i="12"/>
  <c r="AA217" i="12"/>
  <c r="AA218" i="12"/>
  <c r="AA219" i="12"/>
  <c r="AA220" i="12"/>
  <c r="AA221" i="12"/>
  <c r="AA222" i="12"/>
  <c r="AA223" i="12"/>
  <c r="AA224" i="12"/>
  <c r="AA225" i="12"/>
  <c r="AA226" i="12"/>
  <c r="AA227" i="12"/>
  <c r="AA228" i="12"/>
  <c r="AA229" i="12"/>
  <c r="AA230" i="12"/>
  <c r="AA231" i="12"/>
  <c r="AA232" i="12"/>
  <c r="AA233" i="12"/>
  <c r="AA234" i="12"/>
  <c r="AA235" i="12"/>
  <c r="AA236" i="12"/>
  <c r="AA237" i="12"/>
  <c r="AA238" i="12"/>
  <c r="AA239" i="12"/>
  <c r="AA240" i="12"/>
  <c r="AA241" i="12"/>
  <c r="AA242" i="12"/>
  <c r="AA243" i="12"/>
  <c r="AA244" i="12"/>
  <c r="AA245" i="12"/>
  <c r="AA246" i="12"/>
  <c r="AA247" i="12"/>
  <c r="AA248" i="12"/>
  <c r="AA249" i="12"/>
  <c r="AA250" i="12"/>
  <c r="AA251" i="12"/>
  <c r="AA252" i="12"/>
  <c r="AA253" i="12"/>
  <c r="AA254" i="12"/>
  <c r="AA255" i="12"/>
  <c r="AA256" i="12"/>
  <c r="AA257" i="12"/>
  <c r="AA258" i="12"/>
  <c r="AA259" i="12"/>
  <c r="AA260" i="12"/>
  <c r="AA261" i="12"/>
  <c r="AA262" i="12"/>
  <c r="AA263" i="12"/>
  <c r="AA264" i="12"/>
  <c r="AA265" i="12"/>
  <c r="AA266" i="12"/>
  <c r="AA267" i="12"/>
  <c r="AA268" i="12"/>
  <c r="AA269" i="12"/>
  <c r="AA270" i="12"/>
  <c r="AA271" i="12"/>
  <c r="AA272" i="12"/>
  <c r="AA273" i="12"/>
  <c r="AA274" i="12"/>
  <c r="AA275" i="12"/>
  <c r="AA276" i="12"/>
  <c r="AA277" i="12"/>
  <c r="AA278" i="12"/>
  <c r="AA279" i="12"/>
  <c r="AA280" i="12"/>
  <c r="AA281" i="12"/>
  <c r="AA282" i="12"/>
  <c r="AA283" i="12"/>
  <c r="AA284" i="12"/>
  <c r="AA285" i="12"/>
  <c r="AA286" i="12"/>
  <c r="AA287" i="12"/>
  <c r="AA288" i="12"/>
  <c r="AA289" i="12"/>
  <c r="AA290" i="12"/>
  <c r="AA291" i="12"/>
  <c r="AA292" i="12"/>
  <c r="AA293" i="12"/>
  <c r="AA294" i="12"/>
  <c r="AA295" i="12"/>
  <c r="AA296" i="12"/>
  <c r="AA297" i="12"/>
  <c r="AA298" i="12"/>
  <c r="AA299" i="12"/>
  <c r="AA7" i="12"/>
  <c r="AF6" i="12"/>
  <c r="AE6" i="12"/>
  <c r="AD6" i="12"/>
  <c r="AB6" i="12"/>
  <c r="AC6" i="12"/>
  <c r="AA6" i="12"/>
  <c r="L300" i="12"/>
  <c r="O9" i="7" s="1"/>
  <c r="F300" i="12"/>
  <c r="M4" i="7" s="1"/>
  <c r="G300" i="12"/>
  <c r="M5" i="7" s="1"/>
  <c r="H300" i="12"/>
  <c r="M6" i="7" s="1"/>
  <c r="I300" i="12"/>
  <c r="M7" i="7" s="1"/>
  <c r="J300" i="12"/>
  <c r="M8" i="7" s="1"/>
  <c r="E300" i="12"/>
  <c r="M3" i="7" s="1"/>
  <c r="L5" i="8"/>
  <c r="U7" i="8"/>
  <c r="F13" i="8"/>
  <c r="F12" i="8" s="1"/>
  <c r="D293" i="7" s="1"/>
  <c r="I13" i="8"/>
  <c r="I12" i="8" s="1"/>
  <c r="L13" i="8"/>
  <c r="L12" i="8" s="1"/>
  <c r="O14" i="8"/>
  <c r="D331" i="7" s="1"/>
  <c r="O15" i="8"/>
  <c r="O16" i="8"/>
  <c r="D333" i="7" s="1"/>
  <c r="O17" i="8"/>
  <c r="D334" i="7" s="1"/>
  <c r="O18" i="8"/>
  <c r="D335" i="7" s="1"/>
  <c r="F19" i="8"/>
  <c r="I19" i="8"/>
  <c r="L19" i="8"/>
  <c r="D324" i="7" s="1"/>
  <c r="O20" i="8"/>
  <c r="D337" i="7" s="1"/>
  <c r="O21" i="8"/>
  <c r="D338" i="7" s="1"/>
  <c r="O22" i="8"/>
  <c r="D339" i="7" s="1"/>
  <c r="E26" i="8"/>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B6" i="12"/>
  <c r="B7" i="12"/>
  <c r="B8" i="12"/>
  <c r="B9" i="12"/>
  <c r="B10" i="12"/>
  <c r="B11" i="12"/>
  <c r="B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N6" i="13"/>
  <c r="O6" i="13"/>
  <c r="R6" i="13"/>
  <c r="S6" i="13"/>
  <c r="T6" i="13"/>
  <c r="U6" i="13"/>
  <c r="N7" i="13"/>
  <c r="O7" i="13"/>
  <c r="R7" i="13"/>
  <c r="S7" i="13"/>
  <c r="T7" i="13"/>
  <c r="U7" i="13"/>
  <c r="N8" i="13"/>
  <c r="O8" i="13"/>
  <c r="R8" i="13"/>
  <c r="S8" i="13"/>
  <c r="T8" i="13"/>
  <c r="U8" i="13"/>
  <c r="N9" i="13"/>
  <c r="O9" i="13"/>
  <c r="R9" i="13"/>
  <c r="S9" i="13"/>
  <c r="T9" i="13"/>
  <c r="U9" i="13"/>
  <c r="N10" i="13"/>
  <c r="O10" i="13"/>
  <c r="R10" i="13"/>
  <c r="S10" i="13"/>
  <c r="T10" i="13"/>
  <c r="U10" i="13"/>
  <c r="N11" i="13"/>
  <c r="O11" i="13"/>
  <c r="R11" i="13"/>
  <c r="S11" i="13"/>
  <c r="T11" i="13"/>
  <c r="U11" i="13"/>
  <c r="N12" i="13"/>
  <c r="O12" i="13"/>
  <c r="R12" i="13"/>
  <c r="S12" i="13"/>
  <c r="T12" i="13"/>
  <c r="U12" i="13"/>
  <c r="N13" i="13"/>
  <c r="O13" i="13"/>
  <c r="R13" i="13"/>
  <c r="S13" i="13"/>
  <c r="T13" i="13"/>
  <c r="U13" i="13"/>
  <c r="N14" i="13"/>
  <c r="O14" i="13"/>
  <c r="R14" i="13"/>
  <c r="S14" i="13"/>
  <c r="T14" i="13"/>
  <c r="U14" i="13"/>
  <c r="N15" i="13"/>
  <c r="O15" i="13"/>
  <c r="R15" i="13"/>
  <c r="S15" i="13"/>
  <c r="T15" i="13"/>
  <c r="U15" i="13"/>
  <c r="N16" i="13"/>
  <c r="O16" i="13"/>
  <c r="R16" i="13"/>
  <c r="S16" i="13"/>
  <c r="T16" i="13"/>
  <c r="U16" i="13"/>
  <c r="N17" i="13"/>
  <c r="O17" i="13"/>
  <c r="R17" i="13"/>
  <c r="S17" i="13"/>
  <c r="T17" i="13"/>
  <c r="U17" i="13"/>
  <c r="N18" i="13"/>
  <c r="O18" i="13"/>
  <c r="R18" i="13"/>
  <c r="S18" i="13"/>
  <c r="T18" i="13"/>
  <c r="U18" i="13"/>
  <c r="N19" i="13"/>
  <c r="O19" i="13"/>
  <c r="R19" i="13"/>
  <c r="S19" i="13"/>
  <c r="T19" i="13"/>
  <c r="U19" i="13"/>
  <c r="N20" i="13"/>
  <c r="O20" i="13"/>
  <c r="R20" i="13"/>
  <c r="S20" i="13"/>
  <c r="T20" i="13"/>
  <c r="U20" i="13"/>
  <c r="N21" i="13"/>
  <c r="O21" i="13"/>
  <c r="R21" i="13"/>
  <c r="S21" i="13"/>
  <c r="T21" i="13"/>
  <c r="U21" i="13"/>
  <c r="N22" i="13"/>
  <c r="O22" i="13"/>
  <c r="R22" i="13"/>
  <c r="S22" i="13"/>
  <c r="T22" i="13"/>
  <c r="U22" i="13"/>
  <c r="N23" i="13"/>
  <c r="O23" i="13"/>
  <c r="R23" i="13"/>
  <c r="S23" i="13"/>
  <c r="T23" i="13"/>
  <c r="U23" i="13"/>
  <c r="N24" i="13"/>
  <c r="O24" i="13"/>
  <c r="R24" i="13"/>
  <c r="S24" i="13"/>
  <c r="T24" i="13"/>
  <c r="U24" i="13"/>
  <c r="N25" i="13"/>
  <c r="O25" i="13"/>
  <c r="R25" i="13"/>
  <c r="S25" i="13"/>
  <c r="T25" i="13"/>
  <c r="U25" i="13"/>
  <c r="N26" i="13"/>
  <c r="O26" i="13"/>
  <c r="R26" i="13"/>
  <c r="S26" i="13"/>
  <c r="T26" i="13"/>
  <c r="U26" i="13"/>
  <c r="N27" i="13"/>
  <c r="O27" i="13"/>
  <c r="R27" i="13"/>
  <c r="S27" i="13"/>
  <c r="T27" i="13"/>
  <c r="U27" i="13"/>
  <c r="N28" i="13"/>
  <c r="O28" i="13"/>
  <c r="R28" i="13"/>
  <c r="S28" i="13"/>
  <c r="T28" i="13"/>
  <c r="U28" i="13"/>
  <c r="N29" i="13"/>
  <c r="O29" i="13"/>
  <c r="R29" i="13"/>
  <c r="S29" i="13"/>
  <c r="T29" i="13"/>
  <c r="U29" i="13"/>
  <c r="N30" i="13"/>
  <c r="O30" i="13"/>
  <c r="R30" i="13"/>
  <c r="S30" i="13"/>
  <c r="T30" i="13"/>
  <c r="U30" i="13"/>
  <c r="N31" i="13"/>
  <c r="O31" i="13"/>
  <c r="R31" i="13"/>
  <c r="S31" i="13"/>
  <c r="T31" i="13"/>
  <c r="U31" i="13"/>
  <c r="N32" i="13"/>
  <c r="O32" i="13"/>
  <c r="R32" i="13"/>
  <c r="S32" i="13"/>
  <c r="T32" i="13"/>
  <c r="U32" i="13"/>
  <c r="N33" i="13"/>
  <c r="O33" i="13"/>
  <c r="R33" i="13"/>
  <c r="S33" i="13"/>
  <c r="T33" i="13"/>
  <c r="U33" i="13"/>
  <c r="N34" i="13"/>
  <c r="O34" i="13"/>
  <c r="R34" i="13"/>
  <c r="S34" i="13"/>
  <c r="T34" i="13"/>
  <c r="U34" i="13"/>
  <c r="N35" i="13"/>
  <c r="O35" i="13"/>
  <c r="R35" i="13"/>
  <c r="S35" i="13"/>
  <c r="T35" i="13"/>
  <c r="U35" i="13"/>
  <c r="N36" i="13"/>
  <c r="O36" i="13"/>
  <c r="R36" i="13"/>
  <c r="S36" i="13"/>
  <c r="T36" i="13"/>
  <c r="U36" i="13"/>
  <c r="N37" i="13"/>
  <c r="O37" i="13"/>
  <c r="R37" i="13"/>
  <c r="S37" i="13"/>
  <c r="T37" i="13"/>
  <c r="U37" i="13"/>
  <c r="N38" i="13"/>
  <c r="O38" i="13"/>
  <c r="R38" i="13"/>
  <c r="S38" i="13"/>
  <c r="T38" i="13"/>
  <c r="U38" i="13"/>
  <c r="N39" i="13"/>
  <c r="O39" i="13"/>
  <c r="R39" i="13"/>
  <c r="S39" i="13"/>
  <c r="T39" i="13"/>
  <c r="U39" i="13"/>
  <c r="N40" i="13"/>
  <c r="O40" i="13"/>
  <c r="R40" i="13"/>
  <c r="S40" i="13"/>
  <c r="T40" i="13"/>
  <c r="U40" i="13"/>
  <c r="N41" i="13"/>
  <c r="O41" i="13"/>
  <c r="R41" i="13"/>
  <c r="S41" i="13"/>
  <c r="T41" i="13"/>
  <c r="U41" i="13"/>
  <c r="N42" i="13"/>
  <c r="O42" i="13"/>
  <c r="R42" i="13"/>
  <c r="S42" i="13"/>
  <c r="T42" i="13"/>
  <c r="U42" i="13"/>
  <c r="N43" i="13"/>
  <c r="O43" i="13"/>
  <c r="R43" i="13"/>
  <c r="S43" i="13"/>
  <c r="T43" i="13"/>
  <c r="U43" i="13"/>
  <c r="N44" i="13"/>
  <c r="O44" i="13"/>
  <c r="R44" i="13"/>
  <c r="S44" i="13"/>
  <c r="T44" i="13"/>
  <c r="U44" i="13"/>
  <c r="N45" i="13"/>
  <c r="O45" i="13"/>
  <c r="R45" i="13"/>
  <c r="S45" i="13"/>
  <c r="T45" i="13"/>
  <c r="U45" i="13"/>
  <c r="N46" i="13"/>
  <c r="O46" i="13"/>
  <c r="R46" i="13"/>
  <c r="S46" i="13"/>
  <c r="T46" i="13"/>
  <c r="U46" i="13"/>
  <c r="N47" i="13"/>
  <c r="O47" i="13"/>
  <c r="R47" i="13"/>
  <c r="S47" i="13"/>
  <c r="T47" i="13"/>
  <c r="U47" i="13"/>
  <c r="N48" i="13"/>
  <c r="O48" i="13"/>
  <c r="R48" i="13"/>
  <c r="S48" i="13"/>
  <c r="T48" i="13"/>
  <c r="U48" i="13"/>
  <c r="C15" i="9"/>
  <c r="C19" i="9" s="1"/>
  <c r="L3" i="7" s="1"/>
  <c r="F15" i="9"/>
  <c r="F19" i="9" s="1"/>
  <c r="I15" i="9"/>
  <c r="I19" i="9" s="1"/>
  <c r="L15" i="9"/>
  <c r="L19" i="9" s="1"/>
  <c r="K25" i="9" s="1"/>
  <c r="O15" i="9"/>
  <c r="O19" i="9" s="1"/>
  <c r="R15" i="9"/>
  <c r="R19" i="9" s="1"/>
  <c r="L8" i="7" s="1"/>
  <c r="B31" i="9"/>
  <c r="E31" i="9"/>
  <c r="H31" i="9"/>
  <c r="K31" i="9"/>
  <c r="N31" i="9"/>
  <c r="Q31" i="9"/>
  <c r="B35" i="9"/>
  <c r="E35" i="9"/>
  <c r="H35" i="9"/>
  <c r="K35" i="9"/>
  <c r="N35" i="9"/>
  <c r="Q35" i="9"/>
  <c r="C15" i="10"/>
  <c r="C19" i="10" s="1"/>
  <c r="B25" i="10" s="1"/>
  <c r="F15" i="10"/>
  <c r="I15" i="10"/>
  <c r="I19" i="10" s="1"/>
  <c r="L15" i="10"/>
  <c r="D153" i="7" s="1"/>
  <c r="O15" i="10"/>
  <c r="O19" i="10" s="1"/>
  <c r="R15" i="10"/>
  <c r="R19" i="10" s="1"/>
  <c r="B31" i="10"/>
  <c r="E31" i="10"/>
  <c r="H31" i="10"/>
  <c r="K31" i="10"/>
  <c r="N31" i="10"/>
  <c r="Q31" i="10"/>
  <c r="B34" i="10"/>
  <c r="E34" i="10"/>
  <c r="H34" i="10"/>
  <c r="K34" i="10"/>
  <c r="N34" i="10"/>
  <c r="Q34" i="10"/>
  <c r="C15" i="11"/>
  <c r="C19" i="11" s="1"/>
  <c r="F15" i="11"/>
  <c r="F19" i="11" s="1"/>
  <c r="E25" i="11" s="1"/>
  <c r="I15" i="11"/>
  <c r="I19" i="11" s="1"/>
  <c r="L15" i="11"/>
  <c r="L19" i="11" s="1"/>
  <c r="D61" i="7" s="1"/>
  <c r="O15" i="11"/>
  <c r="O19" i="11" s="1"/>
  <c r="R15" i="11"/>
  <c r="R19" i="11" s="1"/>
  <c r="Q25" i="11" s="1"/>
  <c r="B31" i="11"/>
  <c r="E31" i="11"/>
  <c r="H31" i="11"/>
  <c r="K31" i="11"/>
  <c r="N31" i="11"/>
  <c r="Q31" i="11"/>
  <c r="B34" i="11"/>
  <c r="E34" i="11"/>
  <c r="H34" i="11"/>
  <c r="K34" i="11"/>
  <c r="N34" i="11"/>
  <c r="Q34" i="11"/>
  <c r="D5" i="17"/>
  <c r="D23" i="17" s="1"/>
  <c r="J14" i="16" s="1"/>
  <c r="H15" i="17"/>
  <c r="R30" i="17"/>
  <c r="F31" i="17" s="1"/>
  <c r="L59" i="17"/>
  <c r="L60" i="17"/>
  <c r="E5" i="4"/>
  <c r="D6" i="4"/>
  <c r="I6" i="4"/>
  <c r="I3" i="16" s="1"/>
  <c r="D7" i="4"/>
  <c r="C4" i="16" s="1"/>
  <c r="H7" i="4"/>
  <c r="I22" i="16" s="1"/>
  <c r="S7" i="4"/>
  <c r="D8" i="4"/>
  <c r="C6" i="16" s="1"/>
  <c r="H8" i="4"/>
  <c r="I24" i="16" s="1"/>
  <c r="D9" i="4"/>
  <c r="C7" i="16" s="1"/>
  <c r="H9" i="4"/>
  <c r="I25" i="16" s="1"/>
  <c r="D10" i="4"/>
  <c r="C8" i="16" s="1"/>
  <c r="H10" i="4"/>
  <c r="I26" i="16" s="1"/>
  <c r="D11" i="4"/>
  <c r="C9" i="16" s="1"/>
  <c r="H11" i="4"/>
  <c r="I27" i="16" s="1"/>
  <c r="D12" i="4"/>
  <c r="C11" i="16" s="1"/>
  <c r="D13" i="4"/>
  <c r="C12" i="16" s="1"/>
  <c r="J13" i="4"/>
  <c r="L13" i="4" s="1"/>
  <c r="D14" i="4"/>
  <c r="C13" i="16" s="1"/>
  <c r="J14" i="4"/>
  <c r="D15" i="4"/>
  <c r="C15" i="16" s="1"/>
  <c r="H15" i="4"/>
  <c r="J15" i="4"/>
  <c r="I4" i="16" s="1"/>
  <c r="D16" i="4"/>
  <c r="C16" i="16" s="1"/>
  <c r="D17" i="4"/>
  <c r="C17" i="16" s="1"/>
  <c r="D18" i="4"/>
  <c r="C18" i="16" s="1"/>
  <c r="D21" i="4"/>
  <c r="I10" i="16" s="1"/>
  <c r="H21" i="4"/>
  <c r="T21" i="4" s="1"/>
  <c r="I21" i="4"/>
  <c r="J21" i="4"/>
  <c r="V21" i="4" s="1"/>
  <c r="K21" i="4"/>
  <c r="W21" i="4" s="1"/>
  <c r="D22" i="4"/>
  <c r="I12" i="16" s="1"/>
  <c r="H22" i="4"/>
  <c r="T22" i="4" s="1"/>
  <c r="I22" i="4"/>
  <c r="U22" i="4" s="1"/>
  <c r="J22" i="4"/>
  <c r="V22" i="4" s="1"/>
  <c r="K22" i="4"/>
  <c r="W22" i="4" s="1"/>
  <c r="D23" i="4"/>
  <c r="I14" i="16" s="1"/>
  <c r="H23" i="4"/>
  <c r="T23" i="4" s="1"/>
  <c r="I23" i="4"/>
  <c r="U23" i="4" s="1"/>
  <c r="J23" i="4"/>
  <c r="V23" i="4" s="1"/>
  <c r="K23" i="4"/>
  <c r="W23" i="4" s="1"/>
  <c r="S34" i="4"/>
  <c r="D35" i="4"/>
  <c r="I35" i="4"/>
  <c r="C24" i="16" s="1"/>
  <c r="D36" i="4"/>
  <c r="C25" i="16" s="1"/>
  <c r="D37" i="4"/>
  <c r="C26" i="16" s="1"/>
  <c r="I37" i="4"/>
  <c r="C33" i="16" s="1"/>
  <c r="D38" i="4"/>
  <c r="C28" i="16" s="1"/>
  <c r="I38" i="4"/>
  <c r="C34" i="16" s="1"/>
  <c r="D39" i="4"/>
  <c r="C29" i="16" s="1"/>
  <c r="I39" i="4"/>
  <c r="C35" i="16" s="1"/>
  <c r="D40" i="4"/>
  <c r="C30" i="16" s="1"/>
  <c r="I40" i="4"/>
  <c r="C36" i="16" s="1"/>
  <c r="D41" i="4"/>
  <c r="C31" i="16" s="1"/>
  <c r="S42" i="4"/>
  <c r="D43" i="4"/>
  <c r="C40" i="16" s="1"/>
  <c r="I43" i="4"/>
  <c r="C42" i="16" s="1"/>
  <c r="D44" i="4"/>
  <c r="C43" i="16" s="1"/>
  <c r="D45" i="4"/>
  <c r="C44" i="16" s="1"/>
  <c r="I45" i="4"/>
  <c r="C51" i="16" s="1"/>
  <c r="D46" i="4"/>
  <c r="C46" i="16" s="1"/>
  <c r="I46" i="4"/>
  <c r="C52" i="16" s="1"/>
  <c r="D47" i="4"/>
  <c r="C47" i="16" s="1"/>
  <c r="I47" i="4"/>
  <c r="C53" i="16" s="1"/>
  <c r="D48" i="4"/>
  <c r="C48" i="16" s="1"/>
  <c r="I48" i="4"/>
  <c r="C54" i="16" s="1"/>
  <c r="D49" i="4"/>
  <c r="C49" i="16" s="1"/>
  <c r="S50" i="4"/>
  <c r="D51" i="4"/>
  <c r="I40" i="16" s="1"/>
  <c r="I51" i="4"/>
  <c r="I42" i="16" s="1"/>
  <c r="D52" i="4"/>
  <c r="I43" i="16" s="1"/>
  <c r="D53" i="4"/>
  <c r="I44" i="16" s="1"/>
  <c r="I53" i="4"/>
  <c r="I51" i="16" s="1"/>
  <c r="D54" i="4"/>
  <c r="I46" i="16" s="1"/>
  <c r="I54" i="4"/>
  <c r="I52" i="16" s="1"/>
  <c r="D55" i="4"/>
  <c r="I47" i="16" s="1"/>
  <c r="I55" i="4"/>
  <c r="I53" i="16" s="1"/>
  <c r="D56" i="4"/>
  <c r="I48" i="16" s="1"/>
  <c r="I56" i="4"/>
  <c r="I54" i="16" s="1"/>
  <c r="D57" i="4"/>
  <c r="I49" i="16" s="1"/>
  <c r="S58" i="4"/>
  <c r="D59" i="4"/>
  <c r="A393" i="24" s="1"/>
  <c r="I59" i="4"/>
  <c r="C61" i="16" s="1"/>
  <c r="L59" i="4"/>
  <c r="D60" i="4"/>
  <c r="C62" i="16" s="1"/>
  <c r="L60" i="4"/>
  <c r="D61" i="4"/>
  <c r="C63" i="16" s="1"/>
  <c r="I61" i="4"/>
  <c r="C70" i="16" s="1"/>
  <c r="D62" i="4"/>
  <c r="C65" i="16" s="1"/>
  <c r="I62" i="4"/>
  <c r="C71" i="16" s="1"/>
  <c r="D63" i="4"/>
  <c r="C66" i="16" s="1"/>
  <c r="I63" i="4"/>
  <c r="C72" i="16" s="1"/>
  <c r="D64" i="4"/>
  <c r="C67" i="16" s="1"/>
  <c r="I64" i="4"/>
  <c r="C73" i="16" s="1"/>
  <c r="D65" i="4"/>
  <c r="C68" i="16" s="1"/>
  <c r="A2" i="7"/>
  <c r="C2" i="7"/>
  <c r="D2" i="7"/>
  <c r="F2" i="7"/>
  <c r="A3" i="7"/>
  <c r="C3" i="7"/>
  <c r="D3" i="7"/>
  <c r="F3" i="7"/>
  <c r="A4" i="7"/>
  <c r="C4" i="7"/>
  <c r="D4" i="7"/>
  <c r="F4" i="7"/>
  <c r="A5" i="7"/>
  <c r="C5" i="7"/>
  <c r="D5" i="7"/>
  <c r="F5" i="7"/>
  <c r="A6" i="7"/>
  <c r="C6" i="7"/>
  <c r="D6" i="7"/>
  <c r="F6" i="7"/>
  <c r="A7" i="7"/>
  <c r="C7" i="7"/>
  <c r="D7" i="7"/>
  <c r="F7" i="7"/>
  <c r="A8" i="7"/>
  <c r="C8" i="7"/>
  <c r="D8" i="7"/>
  <c r="F8" i="7"/>
  <c r="A9" i="7"/>
  <c r="C9" i="7"/>
  <c r="D9" i="7"/>
  <c r="F9" i="7"/>
  <c r="A10" i="7"/>
  <c r="C10" i="7"/>
  <c r="D10" i="7"/>
  <c r="F10" i="7"/>
  <c r="A11" i="7"/>
  <c r="C11" i="7"/>
  <c r="D11" i="7"/>
  <c r="F11" i="7"/>
  <c r="A12" i="7"/>
  <c r="C12" i="7"/>
  <c r="F12" i="7"/>
  <c r="A13" i="7"/>
  <c r="C13" i="7"/>
  <c r="D13" i="7"/>
  <c r="F13" i="7"/>
  <c r="A15" i="7"/>
  <c r="C15" i="7"/>
  <c r="D15" i="7"/>
  <c r="F15" i="7"/>
  <c r="A16" i="7"/>
  <c r="C16" i="7"/>
  <c r="F16" i="7"/>
  <c r="A17" i="7"/>
  <c r="C17" i="7"/>
  <c r="D17" i="7"/>
  <c r="F17" i="7"/>
  <c r="A18" i="7"/>
  <c r="C18" i="7"/>
  <c r="D18" i="7"/>
  <c r="F18" i="7"/>
  <c r="A19" i="7"/>
  <c r="C19" i="7"/>
  <c r="D19" i="7"/>
  <c r="F19" i="7"/>
  <c r="A20" i="7"/>
  <c r="C20" i="7"/>
  <c r="D20" i="7"/>
  <c r="F20" i="7"/>
  <c r="A21" i="7"/>
  <c r="C21" i="7"/>
  <c r="D21" i="7"/>
  <c r="F21" i="7"/>
  <c r="A22" i="7"/>
  <c r="C22" i="7"/>
  <c r="D22" i="7"/>
  <c r="F22" i="7"/>
  <c r="A23" i="7"/>
  <c r="C23" i="7"/>
  <c r="D23" i="7"/>
  <c r="F23" i="7"/>
  <c r="A24" i="7"/>
  <c r="C24" i="7"/>
  <c r="D24" i="7"/>
  <c r="F24" i="7"/>
  <c r="A25" i="7"/>
  <c r="C25" i="7"/>
  <c r="D25" i="7"/>
  <c r="F25" i="7"/>
  <c r="A26" i="7"/>
  <c r="C26" i="7"/>
  <c r="D26" i="7"/>
  <c r="F26" i="7"/>
  <c r="A27" i="7"/>
  <c r="C27" i="7"/>
  <c r="F27" i="7"/>
  <c r="A28" i="7"/>
  <c r="C28" i="7"/>
  <c r="D28" i="7"/>
  <c r="F28" i="7"/>
  <c r="A30" i="7"/>
  <c r="C30" i="7"/>
  <c r="D30" i="7"/>
  <c r="F30" i="7"/>
  <c r="A31" i="7"/>
  <c r="C31" i="7"/>
  <c r="F31" i="7"/>
  <c r="A32" i="7"/>
  <c r="C32" i="7"/>
  <c r="D32" i="7"/>
  <c r="F32" i="7"/>
  <c r="A33" i="7"/>
  <c r="C33" i="7"/>
  <c r="D33" i="7"/>
  <c r="F33" i="7"/>
  <c r="A34" i="7"/>
  <c r="C34" i="7"/>
  <c r="D34" i="7"/>
  <c r="F34" i="7"/>
  <c r="A35" i="7"/>
  <c r="C35" i="7"/>
  <c r="D35" i="7"/>
  <c r="F35" i="7"/>
  <c r="A36" i="7"/>
  <c r="C36" i="7"/>
  <c r="D36" i="7"/>
  <c r="F36" i="7"/>
  <c r="A37" i="7"/>
  <c r="C37" i="7"/>
  <c r="D37" i="7"/>
  <c r="F37" i="7"/>
  <c r="A38" i="7"/>
  <c r="C38" i="7"/>
  <c r="D38" i="7"/>
  <c r="F38" i="7"/>
  <c r="A39" i="7"/>
  <c r="C39" i="7"/>
  <c r="D39" i="7"/>
  <c r="F39" i="7"/>
  <c r="A40" i="7"/>
  <c r="C40" i="7"/>
  <c r="D40" i="7"/>
  <c r="F40" i="7"/>
  <c r="A41" i="7"/>
  <c r="C41" i="7"/>
  <c r="D41" i="7"/>
  <c r="F41" i="7"/>
  <c r="A42" i="7"/>
  <c r="C42" i="7"/>
  <c r="F42" i="7"/>
  <c r="A43" i="7"/>
  <c r="C43" i="7"/>
  <c r="D43" i="7"/>
  <c r="F43" i="7"/>
  <c r="A45" i="7"/>
  <c r="C45" i="7"/>
  <c r="D45" i="7"/>
  <c r="F45" i="7"/>
  <c r="A46" i="7"/>
  <c r="C46" i="7"/>
  <c r="F46" i="7"/>
  <c r="A47" i="7"/>
  <c r="C47" i="7"/>
  <c r="D47" i="7"/>
  <c r="F47" i="7"/>
  <c r="A48" i="7"/>
  <c r="C48" i="7"/>
  <c r="D48" i="7"/>
  <c r="F48" i="7"/>
  <c r="A49" i="7"/>
  <c r="C49" i="7"/>
  <c r="D49" i="7"/>
  <c r="F49" i="7"/>
  <c r="A50" i="7"/>
  <c r="C50" i="7"/>
  <c r="D50" i="7"/>
  <c r="F50" i="7"/>
  <c r="A51" i="7"/>
  <c r="C51" i="7"/>
  <c r="D51" i="7"/>
  <c r="F51" i="7"/>
  <c r="A52" i="7"/>
  <c r="C52" i="7"/>
  <c r="D52" i="7"/>
  <c r="F52" i="7"/>
  <c r="A53" i="7"/>
  <c r="C53" i="7"/>
  <c r="D53" i="7"/>
  <c r="F53" i="7"/>
  <c r="A54" i="7"/>
  <c r="C54" i="7"/>
  <c r="D54" i="7"/>
  <c r="F54" i="7"/>
  <c r="A55" i="7"/>
  <c r="C55" i="7"/>
  <c r="D55" i="7"/>
  <c r="F55" i="7"/>
  <c r="A56" i="7"/>
  <c r="C56" i="7"/>
  <c r="D56" i="7"/>
  <c r="F56" i="7"/>
  <c r="A57" i="7"/>
  <c r="C57" i="7"/>
  <c r="D57" i="7"/>
  <c r="F57" i="7"/>
  <c r="A58" i="7"/>
  <c r="C58" i="7"/>
  <c r="D58" i="7"/>
  <c r="F58" i="7"/>
  <c r="A60" i="7"/>
  <c r="C60" i="7"/>
  <c r="D60" i="7"/>
  <c r="F60" i="7"/>
  <c r="A61" i="7"/>
  <c r="C61" i="7"/>
  <c r="F61" i="7"/>
  <c r="A62" i="7"/>
  <c r="C62" i="7"/>
  <c r="D62" i="7"/>
  <c r="F62" i="7"/>
  <c r="A63" i="7"/>
  <c r="C63" i="7"/>
  <c r="D63" i="7"/>
  <c r="F63" i="7"/>
  <c r="A64" i="7"/>
  <c r="C64" i="7"/>
  <c r="D64" i="7"/>
  <c r="F64" i="7"/>
  <c r="A65" i="7"/>
  <c r="C65" i="7"/>
  <c r="D65" i="7"/>
  <c r="F65" i="7"/>
  <c r="A66" i="7"/>
  <c r="C66" i="7"/>
  <c r="D66" i="7"/>
  <c r="F66" i="7"/>
  <c r="A67" i="7"/>
  <c r="C67" i="7"/>
  <c r="D67" i="7"/>
  <c r="F67" i="7"/>
  <c r="A68" i="7"/>
  <c r="C68" i="7"/>
  <c r="D68" i="7"/>
  <c r="F68" i="7"/>
  <c r="A69" i="7"/>
  <c r="C69" i="7"/>
  <c r="D69" i="7"/>
  <c r="F69" i="7"/>
  <c r="A70" i="7"/>
  <c r="C70" i="7"/>
  <c r="D70" i="7"/>
  <c r="F70" i="7"/>
  <c r="A71" i="7"/>
  <c r="C71" i="7"/>
  <c r="D71" i="7"/>
  <c r="F71" i="7"/>
  <c r="A72" i="7"/>
  <c r="C72" i="7"/>
  <c r="D72" i="7"/>
  <c r="F72" i="7"/>
  <c r="A73" i="7"/>
  <c r="C73" i="7"/>
  <c r="D73" i="7"/>
  <c r="F73" i="7"/>
  <c r="A75" i="7"/>
  <c r="C75" i="7"/>
  <c r="D75" i="7"/>
  <c r="F75" i="7"/>
  <c r="A76" i="7"/>
  <c r="C76" i="7"/>
  <c r="F76" i="7"/>
  <c r="A77" i="7"/>
  <c r="C77" i="7"/>
  <c r="D77" i="7"/>
  <c r="F77" i="7"/>
  <c r="A78" i="7"/>
  <c r="C78" i="7"/>
  <c r="D78" i="7"/>
  <c r="F78" i="7"/>
  <c r="A79" i="7"/>
  <c r="C79" i="7"/>
  <c r="D79" i="7"/>
  <c r="F79" i="7"/>
  <c r="A80" i="7"/>
  <c r="C80" i="7"/>
  <c r="D80" i="7"/>
  <c r="F80" i="7"/>
  <c r="A81" i="7"/>
  <c r="C81" i="7"/>
  <c r="D81" i="7"/>
  <c r="F81" i="7"/>
  <c r="A82" i="7"/>
  <c r="C82" i="7"/>
  <c r="D82" i="7"/>
  <c r="F82" i="7"/>
  <c r="A83" i="7"/>
  <c r="C83" i="7"/>
  <c r="D83" i="7"/>
  <c r="F83" i="7"/>
  <c r="A84" i="7"/>
  <c r="C84" i="7"/>
  <c r="D84" i="7"/>
  <c r="F84" i="7"/>
  <c r="A85" i="7"/>
  <c r="C85" i="7"/>
  <c r="D85" i="7"/>
  <c r="F85" i="7"/>
  <c r="A86" i="7"/>
  <c r="C86" i="7"/>
  <c r="D86" i="7"/>
  <c r="F86" i="7"/>
  <c r="A87" i="7"/>
  <c r="C87" i="7"/>
  <c r="F87" i="7"/>
  <c r="A88" i="7"/>
  <c r="C88" i="7"/>
  <c r="D88" i="7"/>
  <c r="F88" i="7"/>
  <c r="A90" i="7"/>
  <c r="C90" i="7"/>
  <c r="D90" i="7"/>
  <c r="F90" i="7"/>
  <c r="A91" i="7"/>
  <c r="C91" i="7"/>
  <c r="F91" i="7"/>
  <c r="A92" i="7"/>
  <c r="C92" i="7"/>
  <c r="D92" i="7"/>
  <c r="F92" i="7"/>
  <c r="A93" i="7"/>
  <c r="C93" i="7"/>
  <c r="D93" i="7"/>
  <c r="F93" i="7"/>
  <c r="A94" i="7"/>
  <c r="C94" i="7"/>
  <c r="D94" i="7"/>
  <c r="F94" i="7"/>
  <c r="A95" i="7"/>
  <c r="C95" i="7"/>
  <c r="D95" i="7"/>
  <c r="F95" i="7"/>
  <c r="A96" i="7"/>
  <c r="C96" i="7"/>
  <c r="D96" i="7"/>
  <c r="F96" i="7"/>
  <c r="A97" i="7"/>
  <c r="C97" i="7"/>
  <c r="D97" i="7"/>
  <c r="F97" i="7"/>
  <c r="A98" i="7"/>
  <c r="C98" i="7"/>
  <c r="D98" i="7"/>
  <c r="F98" i="7"/>
  <c r="A99" i="7"/>
  <c r="C99" i="7"/>
  <c r="D99" i="7"/>
  <c r="F99" i="7"/>
  <c r="A100" i="7"/>
  <c r="C100" i="7"/>
  <c r="D100" i="7"/>
  <c r="F100" i="7"/>
  <c r="A101" i="7"/>
  <c r="C101" i="7"/>
  <c r="D101" i="7"/>
  <c r="F101" i="7"/>
  <c r="A102" i="7"/>
  <c r="C102" i="7"/>
  <c r="D102" i="7"/>
  <c r="F102" i="7"/>
  <c r="A103" i="7"/>
  <c r="C103" i="7"/>
  <c r="D103" i="7"/>
  <c r="F103" i="7"/>
  <c r="A104" i="7"/>
  <c r="C104" i="7"/>
  <c r="D104" i="7"/>
  <c r="F104" i="7"/>
  <c r="A105" i="7"/>
  <c r="C105" i="7"/>
  <c r="D105" i="7"/>
  <c r="F105" i="7"/>
  <c r="A106" i="7"/>
  <c r="C106" i="7"/>
  <c r="D106" i="7"/>
  <c r="F106" i="7"/>
  <c r="A107" i="7"/>
  <c r="C107" i="7"/>
  <c r="D107" i="7"/>
  <c r="F107" i="7"/>
  <c r="A108" i="7"/>
  <c r="C108" i="7"/>
  <c r="F108" i="7"/>
  <c r="A109" i="7"/>
  <c r="C109" i="7"/>
  <c r="D109" i="7"/>
  <c r="F109" i="7"/>
  <c r="A111" i="7"/>
  <c r="C111" i="7"/>
  <c r="D111" i="7"/>
  <c r="F111" i="7"/>
  <c r="A112" i="7"/>
  <c r="C112" i="7"/>
  <c r="F112" i="7"/>
  <c r="A113" i="7"/>
  <c r="C113" i="7"/>
  <c r="D113" i="7"/>
  <c r="F113" i="7"/>
  <c r="A114" i="7"/>
  <c r="C114" i="7"/>
  <c r="D114" i="7"/>
  <c r="F114" i="7"/>
  <c r="A115" i="7"/>
  <c r="C115" i="7"/>
  <c r="D115" i="7"/>
  <c r="F115" i="7"/>
  <c r="A116" i="7"/>
  <c r="C116" i="7"/>
  <c r="D116" i="7"/>
  <c r="F116" i="7"/>
  <c r="A117" i="7"/>
  <c r="C117" i="7"/>
  <c r="D117" i="7"/>
  <c r="F117" i="7"/>
  <c r="A118" i="7"/>
  <c r="C118" i="7"/>
  <c r="D118" i="7"/>
  <c r="F118" i="7"/>
  <c r="A119" i="7"/>
  <c r="C119" i="7"/>
  <c r="D119" i="7"/>
  <c r="F119" i="7"/>
  <c r="A120" i="7"/>
  <c r="C120" i="7"/>
  <c r="D120" i="7"/>
  <c r="F120" i="7"/>
  <c r="A121" i="7"/>
  <c r="C121" i="7"/>
  <c r="D121" i="7"/>
  <c r="F121" i="7"/>
  <c r="A122" i="7"/>
  <c r="C122" i="7"/>
  <c r="D122" i="7"/>
  <c r="F122" i="7"/>
  <c r="A123" i="7"/>
  <c r="C123" i="7"/>
  <c r="F123" i="7"/>
  <c r="A124" i="7"/>
  <c r="C124" i="7"/>
  <c r="D124" i="7"/>
  <c r="F124" i="7"/>
  <c r="A126" i="7"/>
  <c r="C126" i="7"/>
  <c r="D126" i="7"/>
  <c r="F126" i="7"/>
  <c r="A127" i="7"/>
  <c r="C127" i="7"/>
  <c r="F127" i="7"/>
  <c r="A128" i="7"/>
  <c r="C128" i="7"/>
  <c r="D128" i="7"/>
  <c r="F128" i="7"/>
  <c r="A129" i="7"/>
  <c r="C129" i="7"/>
  <c r="D129" i="7"/>
  <c r="F129" i="7"/>
  <c r="A130" i="7"/>
  <c r="C130" i="7"/>
  <c r="D130" i="7"/>
  <c r="F130" i="7"/>
  <c r="A131" i="7"/>
  <c r="C131" i="7"/>
  <c r="D131" i="7"/>
  <c r="F131" i="7"/>
  <c r="A132" i="7"/>
  <c r="C132" i="7"/>
  <c r="D132" i="7"/>
  <c r="F132" i="7"/>
  <c r="A133" i="7"/>
  <c r="C133" i="7"/>
  <c r="D133" i="7"/>
  <c r="F133" i="7"/>
  <c r="A134" i="7"/>
  <c r="C134" i="7"/>
  <c r="D134" i="7"/>
  <c r="F134" i="7"/>
  <c r="A135" i="7"/>
  <c r="C135" i="7"/>
  <c r="D135" i="7"/>
  <c r="F135" i="7"/>
  <c r="A136" i="7"/>
  <c r="C136" i="7"/>
  <c r="D136" i="7"/>
  <c r="F136" i="7"/>
  <c r="A137" i="7"/>
  <c r="C137" i="7"/>
  <c r="D137" i="7"/>
  <c r="F137" i="7"/>
  <c r="A138" i="7"/>
  <c r="C138" i="7"/>
  <c r="F138" i="7"/>
  <c r="A139" i="7"/>
  <c r="C139" i="7"/>
  <c r="D139" i="7"/>
  <c r="F139" i="7"/>
  <c r="A141" i="7"/>
  <c r="C141" i="7"/>
  <c r="D141" i="7"/>
  <c r="F141" i="7"/>
  <c r="A142" i="7"/>
  <c r="C142" i="7"/>
  <c r="F142" i="7"/>
  <c r="A143" i="7"/>
  <c r="C143" i="7"/>
  <c r="D143" i="7"/>
  <c r="F143" i="7"/>
  <c r="A144" i="7"/>
  <c r="C144" i="7"/>
  <c r="D144" i="7"/>
  <c r="F144" i="7"/>
  <c r="A145" i="7"/>
  <c r="C145" i="7"/>
  <c r="D145" i="7"/>
  <c r="F145" i="7"/>
  <c r="A146" i="7"/>
  <c r="C146" i="7"/>
  <c r="D146" i="7"/>
  <c r="F146" i="7"/>
  <c r="A147" i="7"/>
  <c r="C147" i="7"/>
  <c r="D147" i="7"/>
  <c r="F147" i="7"/>
  <c r="A148" i="7"/>
  <c r="C148" i="7"/>
  <c r="D148" i="7"/>
  <c r="F148" i="7"/>
  <c r="A149" i="7"/>
  <c r="C149" i="7"/>
  <c r="D149" i="7"/>
  <c r="F149" i="7"/>
  <c r="A150" i="7"/>
  <c r="C150" i="7"/>
  <c r="D150" i="7"/>
  <c r="F150" i="7"/>
  <c r="A151" i="7"/>
  <c r="C151" i="7"/>
  <c r="D151" i="7"/>
  <c r="F151" i="7"/>
  <c r="A152" i="7"/>
  <c r="C152" i="7"/>
  <c r="D152" i="7"/>
  <c r="F152" i="7"/>
  <c r="A153" i="7"/>
  <c r="C153" i="7"/>
  <c r="F153" i="7"/>
  <c r="A154" i="7"/>
  <c r="C154" i="7"/>
  <c r="D154" i="7"/>
  <c r="F154" i="7"/>
  <c r="A156" i="7"/>
  <c r="C156" i="7"/>
  <c r="D156" i="7"/>
  <c r="F156" i="7"/>
  <c r="A157" i="7"/>
  <c r="C157" i="7"/>
  <c r="F157" i="7"/>
  <c r="A158" i="7"/>
  <c r="C158" i="7"/>
  <c r="D158" i="7"/>
  <c r="F158" i="7"/>
  <c r="A159" i="7"/>
  <c r="C159" i="7"/>
  <c r="D159" i="7"/>
  <c r="F159" i="7"/>
  <c r="A160" i="7"/>
  <c r="C160" i="7"/>
  <c r="D160" i="7"/>
  <c r="F160" i="7"/>
  <c r="A161" i="7"/>
  <c r="C161" i="7"/>
  <c r="D161" i="7"/>
  <c r="F161" i="7"/>
  <c r="A162" i="7"/>
  <c r="C162" i="7"/>
  <c r="D162" i="7"/>
  <c r="F162" i="7"/>
  <c r="A163" i="7"/>
  <c r="C163" i="7"/>
  <c r="D163" i="7"/>
  <c r="F163" i="7"/>
  <c r="A164" i="7"/>
  <c r="C164" i="7"/>
  <c r="D164" i="7"/>
  <c r="F164" i="7"/>
  <c r="A165" i="7"/>
  <c r="C165" i="7"/>
  <c r="D165" i="7"/>
  <c r="F165" i="7"/>
  <c r="A166" i="7"/>
  <c r="C166" i="7"/>
  <c r="D166" i="7"/>
  <c r="F166" i="7"/>
  <c r="A167" i="7"/>
  <c r="C167" i="7"/>
  <c r="D167" i="7"/>
  <c r="F167" i="7"/>
  <c r="A168" i="7"/>
  <c r="C168" i="7"/>
  <c r="F168" i="7"/>
  <c r="A169" i="7"/>
  <c r="C169" i="7"/>
  <c r="D169" i="7"/>
  <c r="F169" i="7"/>
  <c r="A171" i="7"/>
  <c r="C171" i="7"/>
  <c r="D171" i="7"/>
  <c r="F171" i="7"/>
  <c r="A172" i="7"/>
  <c r="C172" i="7"/>
  <c r="F172" i="7"/>
  <c r="A173" i="7"/>
  <c r="C173" i="7"/>
  <c r="D173" i="7"/>
  <c r="F173" i="7"/>
  <c r="A174" i="7"/>
  <c r="C174" i="7"/>
  <c r="D174" i="7"/>
  <c r="F174" i="7"/>
  <c r="A175" i="7"/>
  <c r="C175" i="7"/>
  <c r="D175" i="7"/>
  <c r="F175" i="7"/>
  <c r="A176" i="7"/>
  <c r="C176" i="7"/>
  <c r="D176" i="7"/>
  <c r="F176" i="7"/>
  <c r="A177" i="7"/>
  <c r="C177" i="7"/>
  <c r="D177" i="7"/>
  <c r="F177" i="7"/>
  <c r="A178" i="7"/>
  <c r="C178" i="7"/>
  <c r="D178" i="7"/>
  <c r="F178" i="7"/>
  <c r="A179" i="7"/>
  <c r="C179" i="7"/>
  <c r="D179" i="7"/>
  <c r="F179" i="7"/>
  <c r="A180" i="7"/>
  <c r="C180" i="7"/>
  <c r="D180" i="7"/>
  <c r="F180" i="7"/>
  <c r="A181" i="7"/>
  <c r="C181" i="7"/>
  <c r="D181" i="7"/>
  <c r="F181" i="7"/>
  <c r="A182" i="7"/>
  <c r="C182" i="7"/>
  <c r="D182" i="7"/>
  <c r="F182" i="7"/>
  <c r="A183" i="7"/>
  <c r="C183" i="7"/>
  <c r="F183" i="7"/>
  <c r="A184" i="7"/>
  <c r="C184" i="7"/>
  <c r="D184" i="7"/>
  <c r="F184" i="7"/>
  <c r="A186" i="7"/>
  <c r="C186" i="7"/>
  <c r="D186" i="7"/>
  <c r="F186" i="7"/>
  <c r="A187" i="7"/>
  <c r="C187" i="7"/>
  <c r="F187" i="7"/>
  <c r="A188" i="7"/>
  <c r="C188" i="7"/>
  <c r="D188" i="7"/>
  <c r="F188" i="7"/>
  <c r="A189" i="7"/>
  <c r="C189" i="7"/>
  <c r="D189" i="7"/>
  <c r="F189" i="7"/>
  <c r="A190" i="7"/>
  <c r="C190" i="7"/>
  <c r="D190" i="7"/>
  <c r="F190" i="7"/>
  <c r="A191" i="7"/>
  <c r="C191" i="7"/>
  <c r="D191" i="7"/>
  <c r="F191" i="7"/>
  <c r="A192" i="7"/>
  <c r="C192" i="7"/>
  <c r="D192" i="7"/>
  <c r="F192" i="7"/>
  <c r="A193" i="7"/>
  <c r="C193" i="7"/>
  <c r="D193" i="7"/>
  <c r="F193" i="7"/>
  <c r="A194" i="7"/>
  <c r="C194" i="7"/>
  <c r="D194" i="7"/>
  <c r="F194" i="7"/>
  <c r="A195" i="7"/>
  <c r="C195" i="7"/>
  <c r="D195" i="7"/>
  <c r="F195" i="7"/>
  <c r="A196" i="7"/>
  <c r="C196" i="7"/>
  <c r="D196" i="7"/>
  <c r="F196" i="7"/>
  <c r="A197" i="7"/>
  <c r="C197" i="7"/>
  <c r="D197" i="7"/>
  <c r="F197" i="7"/>
  <c r="A198" i="7"/>
  <c r="C198" i="7"/>
  <c r="D198" i="7"/>
  <c r="F198" i="7"/>
  <c r="A199" i="7"/>
  <c r="C199" i="7"/>
  <c r="D199" i="7"/>
  <c r="F199" i="7"/>
  <c r="A200" i="7"/>
  <c r="C200" i="7"/>
  <c r="D200" i="7"/>
  <c r="F200" i="7"/>
  <c r="A201" i="7"/>
  <c r="C201" i="7"/>
  <c r="D201" i="7"/>
  <c r="F201" i="7"/>
  <c r="A202" i="7"/>
  <c r="C202" i="7"/>
  <c r="D202" i="7"/>
  <c r="F202" i="7"/>
  <c r="A203" i="7"/>
  <c r="C203" i="7"/>
  <c r="D203" i="7"/>
  <c r="F203" i="7"/>
  <c r="A204" i="7"/>
  <c r="C204" i="7"/>
  <c r="D204" i="7"/>
  <c r="F204" i="7"/>
  <c r="A205" i="7"/>
  <c r="C205" i="7"/>
  <c r="D205" i="7"/>
  <c r="F205" i="7"/>
  <c r="A207" i="7"/>
  <c r="C207" i="7"/>
  <c r="D207" i="7"/>
  <c r="F207" i="7"/>
  <c r="A208" i="7"/>
  <c r="C208" i="7"/>
  <c r="F208" i="7"/>
  <c r="A209" i="7"/>
  <c r="C209" i="7"/>
  <c r="D209" i="7"/>
  <c r="F209" i="7"/>
  <c r="A210" i="7"/>
  <c r="C210" i="7"/>
  <c r="D210" i="7"/>
  <c r="F210" i="7"/>
  <c r="A211" i="7"/>
  <c r="C211" i="7"/>
  <c r="D211" i="7"/>
  <c r="F211" i="7"/>
  <c r="A212" i="7"/>
  <c r="C212" i="7"/>
  <c r="D212" i="7"/>
  <c r="F212" i="7"/>
  <c r="A213" i="7"/>
  <c r="C213" i="7"/>
  <c r="D213" i="7"/>
  <c r="F213" i="7"/>
  <c r="A214" i="7"/>
  <c r="C214" i="7"/>
  <c r="D214" i="7"/>
  <c r="F214" i="7"/>
  <c r="A215" i="7"/>
  <c r="C215" i="7"/>
  <c r="D215" i="7"/>
  <c r="F215" i="7"/>
  <c r="A216" i="7"/>
  <c r="C216" i="7"/>
  <c r="D216" i="7"/>
  <c r="F216" i="7"/>
  <c r="A217" i="7"/>
  <c r="C217" i="7"/>
  <c r="D217" i="7"/>
  <c r="F217" i="7"/>
  <c r="A218" i="7"/>
  <c r="C218" i="7"/>
  <c r="D218" i="7"/>
  <c r="F218" i="7"/>
  <c r="A219" i="7"/>
  <c r="C219" i="7"/>
  <c r="F219" i="7"/>
  <c r="A220" i="7"/>
  <c r="C220" i="7"/>
  <c r="D220" i="7"/>
  <c r="F220" i="7"/>
  <c r="A222" i="7"/>
  <c r="C222" i="7"/>
  <c r="D222" i="7"/>
  <c r="F222" i="7"/>
  <c r="A223" i="7"/>
  <c r="C223" i="7"/>
  <c r="F223" i="7"/>
  <c r="A224" i="7"/>
  <c r="C224" i="7"/>
  <c r="D224" i="7"/>
  <c r="F224" i="7"/>
  <c r="A225" i="7"/>
  <c r="C225" i="7"/>
  <c r="D225" i="7"/>
  <c r="F225" i="7"/>
  <c r="A226" i="7"/>
  <c r="C226" i="7"/>
  <c r="D226" i="7"/>
  <c r="F226" i="7"/>
  <c r="A227" i="7"/>
  <c r="C227" i="7"/>
  <c r="D227" i="7"/>
  <c r="F227" i="7"/>
  <c r="A228" i="7"/>
  <c r="C228" i="7"/>
  <c r="D228" i="7"/>
  <c r="F228" i="7"/>
  <c r="A229" i="7"/>
  <c r="C229" i="7"/>
  <c r="D229" i="7"/>
  <c r="F229" i="7"/>
  <c r="A230" i="7"/>
  <c r="C230" i="7"/>
  <c r="D230" i="7"/>
  <c r="F230" i="7"/>
  <c r="A231" i="7"/>
  <c r="C231" i="7"/>
  <c r="D231" i="7"/>
  <c r="F231" i="7"/>
  <c r="A232" i="7"/>
  <c r="C232" i="7"/>
  <c r="D232" i="7"/>
  <c r="F232" i="7"/>
  <c r="A233" i="7"/>
  <c r="C233" i="7"/>
  <c r="D233" i="7"/>
  <c r="F233" i="7"/>
  <c r="A234" i="7"/>
  <c r="C234" i="7"/>
  <c r="F234" i="7"/>
  <c r="A235" i="7"/>
  <c r="C235" i="7"/>
  <c r="D235" i="7"/>
  <c r="F235" i="7"/>
  <c r="A237" i="7"/>
  <c r="C237" i="7"/>
  <c r="D237" i="7"/>
  <c r="F237" i="7"/>
  <c r="A238" i="7"/>
  <c r="C238" i="7"/>
  <c r="F238" i="7"/>
  <c r="A239" i="7"/>
  <c r="C239" i="7"/>
  <c r="D239" i="7"/>
  <c r="F239" i="7"/>
  <c r="A240" i="7"/>
  <c r="C240" i="7"/>
  <c r="D240" i="7"/>
  <c r="F240" i="7"/>
  <c r="A241" i="7"/>
  <c r="C241" i="7"/>
  <c r="D241" i="7"/>
  <c r="F241" i="7"/>
  <c r="A242" i="7"/>
  <c r="C242" i="7"/>
  <c r="D242" i="7"/>
  <c r="F242" i="7"/>
  <c r="A243" i="7"/>
  <c r="C243" i="7"/>
  <c r="D243" i="7"/>
  <c r="F243" i="7"/>
  <c r="A244" i="7"/>
  <c r="C244" i="7"/>
  <c r="D244" i="7"/>
  <c r="F244" i="7"/>
  <c r="A245" i="7"/>
  <c r="C245" i="7"/>
  <c r="D245" i="7"/>
  <c r="F245" i="7"/>
  <c r="A246" i="7"/>
  <c r="C246" i="7"/>
  <c r="D246" i="7"/>
  <c r="F246" i="7"/>
  <c r="A247" i="7"/>
  <c r="C247" i="7"/>
  <c r="D247" i="7"/>
  <c r="F247" i="7"/>
  <c r="A248" i="7"/>
  <c r="C248" i="7"/>
  <c r="D248" i="7"/>
  <c r="F248" i="7"/>
  <c r="A249" i="7"/>
  <c r="C249" i="7"/>
  <c r="F249" i="7"/>
  <c r="A250" i="7"/>
  <c r="C250" i="7"/>
  <c r="D250" i="7"/>
  <c r="F250" i="7"/>
  <c r="A252" i="7"/>
  <c r="C252" i="7"/>
  <c r="D252" i="7"/>
  <c r="F252" i="7"/>
  <c r="A253" i="7"/>
  <c r="C253" i="7"/>
  <c r="F253" i="7"/>
  <c r="A254" i="7"/>
  <c r="C254" i="7"/>
  <c r="D254" i="7"/>
  <c r="F254" i="7"/>
  <c r="A255" i="7"/>
  <c r="C255" i="7"/>
  <c r="D255" i="7"/>
  <c r="F255" i="7"/>
  <c r="A256" i="7"/>
  <c r="C256" i="7"/>
  <c r="D256" i="7"/>
  <c r="F256" i="7"/>
  <c r="A257" i="7"/>
  <c r="C257" i="7"/>
  <c r="D257" i="7"/>
  <c r="F257" i="7"/>
  <c r="A258" i="7"/>
  <c r="C258" i="7"/>
  <c r="D258" i="7"/>
  <c r="F258" i="7"/>
  <c r="A259" i="7"/>
  <c r="C259" i="7"/>
  <c r="D259" i="7"/>
  <c r="F259" i="7"/>
  <c r="A260" i="7"/>
  <c r="C260" i="7"/>
  <c r="D260" i="7"/>
  <c r="F260" i="7"/>
  <c r="A261" i="7"/>
  <c r="C261" i="7"/>
  <c r="D261" i="7"/>
  <c r="F261" i="7"/>
  <c r="A262" i="7"/>
  <c r="C262" i="7"/>
  <c r="D262" i="7"/>
  <c r="F262" i="7"/>
  <c r="A263" i="7"/>
  <c r="C263" i="7"/>
  <c r="D263" i="7"/>
  <c r="F263" i="7"/>
  <c r="A264" i="7"/>
  <c r="C264" i="7"/>
  <c r="F264" i="7"/>
  <c r="A265" i="7"/>
  <c r="C265" i="7"/>
  <c r="D265" i="7"/>
  <c r="F265" i="7"/>
  <c r="A267" i="7"/>
  <c r="C267" i="7"/>
  <c r="D267" i="7"/>
  <c r="F267" i="7"/>
  <c r="A268" i="7"/>
  <c r="C268" i="7"/>
  <c r="F268" i="7"/>
  <c r="A269" i="7"/>
  <c r="C269" i="7"/>
  <c r="D269" i="7"/>
  <c r="F269" i="7"/>
  <c r="A270" i="7"/>
  <c r="C270" i="7"/>
  <c r="D270" i="7"/>
  <c r="F270" i="7"/>
  <c r="A271" i="7"/>
  <c r="C271" i="7"/>
  <c r="D271" i="7"/>
  <c r="F271" i="7"/>
  <c r="A272" i="7"/>
  <c r="C272" i="7"/>
  <c r="D272" i="7"/>
  <c r="F272" i="7"/>
  <c r="A273" i="7"/>
  <c r="C273" i="7"/>
  <c r="D273" i="7"/>
  <c r="F273" i="7"/>
  <c r="A274" i="7"/>
  <c r="C274" i="7"/>
  <c r="D274" i="7"/>
  <c r="F274" i="7"/>
  <c r="A275" i="7"/>
  <c r="C275" i="7"/>
  <c r="D275" i="7"/>
  <c r="F275" i="7"/>
  <c r="A276" i="7"/>
  <c r="C276" i="7"/>
  <c r="D276" i="7"/>
  <c r="F276" i="7"/>
  <c r="A277" i="7"/>
  <c r="C277" i="7"/>
  <c r="D277" i="7"/>
  <c r="F277" i="7"/>
  <c r="A278" i="7"/>
  <c r="C278" i="7"/>
  <c r="D278" i="7"/>
  <c r="F278" i="7"/>
  <c r="A279" i="7"/>
  <c r="C279" i="7"/>
  <c r="F279" i="7"/>
  <c r="A280" i="7"/>
  <c r="C280" i="7"/>
  <c r="D280" i="7"/>
  <c r="F280" i="7"/>
  <c r="A282" i="7"/>
  <c r="C282" i="7"/>
  <c r="D282" i="7"/>
  <c r="F282" i="7"/>
  <c r="A283" i="7"/>
  <c r="C283" i="7"/>
  <c r="F283" i="7"/>
  <c r="A284" i="7"/>
  <c r="C284" i="7"/>
  <c r="D284" i="7"/>
  <c r="F284" i="7"/>
  <c r="A285" i="7"/>
  <c r="C285" i="7"/>
  <c r="D285" i="7"/>
  <c r="F285" i="7"/>
  <c r="A286" i="7"/>
  <c r="C286" i="7"/>
  <c r="D286" i="7"/>
  <c r="F286" i="7"/>
  <c r="A287" i="7"/>
  <c r="C287" i="7"/>
  <c r="D287" i="7"/>
  <c r="F287" i="7"/>
  <c r="A288" i="7"/>
  <c r="C288" i="7"/>
  <c r="D288" i="7"/>
  <c r="F288" i="7"/>
  <c r="A289" i="7"/>
  <c r="C289" i="7"/>
  <c r="D289" i="7"/>
  <c r="F289" i="7"/>
  <c r="A290" i="7"/>
  <c r="C290" i="7"/>
  <c r="D290" i="7"/>
  <c r="F290" i="7"/>
  <c r="A291" i="7"/>
  <c r="C291" i="7"/>
  <c r="D291" i="7"/>
  <c r="F291" i="7"/>
  <c r="A292" i="7"/>
  <c r="C292" i="7"/>
  <c r="D292" i="7"/>
  <c r="F292" i="7"/>
  <c r="A293" i="7"/>
  <c r="C293" i="7"/>
  <c r="F293" i="7"/>
  <c r="A294" i="7"/>
  <c r="C294" i="7"/>
  <c r="F294" i="7"/>
  <c r="A295" i="7"/>
  <c r="C295" i="7"/>
  <c r="D295" i="7"/>
  <c r="F295" i="7"/>
  <c r="A296" i="7"/>
  <c r="C296" i="7"/>
  <c r="D296" i="7"/>
  <c r="F296" i="7"/>
  <c r="A297" i="7"/>
  <c r="C297" i="7"/>
  <c r="D297" i="7"/>
  <c r="F297" i="7"/>
  <c r="A298" i="7"/>
  <c r="C298" i="7"/>
  <c r="D298" i="7"/>
  <c r="F298" i="7"/>
  <c r="A299" i="7"/>
  <c r="C299" i="7"/>
  <c r="D299" i="7"/>
  <c r="F299" i="7"/>
  <c r="A300" i="7"/>
  <c r="C300" i="7"/>
  <c r="D300" i="7"/>
  <c r="F300" i="7"/>
  <c r="A301" i="7"/>
  <c r="C301" i="7"/>
  <c r="D301" i="7"/>
  <c r="F301" i="7"/>
  <c r="A302" i="7"/>
  <c r="C302" i="7"/>
  <c r="D302" i="7"/>
  <c r="F302" i="7"/>
  <c r="A303" i="7"/>
  <c r="C303" i="7"/>
  <c r="D303" i="7"/>
  <c r="F303" i="7"/>
  <c r="A304" i="7"/>
  <c r="C304" i="7"/>
  <c r="F304" i="7"/>
  <c r="A305" i="7"/>
  <c r="C305" i="7"/>
  <c r="F305" i="7"/>
  <c r="A306" i="7"/>
  <c r="C306" i="7"/>
  <c r="D306" i="7"/>
  <c r="F306" i="7"/>
  <c r="A307" i="7"/>
  <c r="C307" i="7"/>
  <c r="D307" i="7"/>
  <c r="F307" i="7"/>
  <c r="A308" i="7"/>
  <c r="C308" i="7"/>
  <c r="D308" i="7"/>
  <c r="F308" i="7"/>
  <c r="A309" i="7"/>
  <c r="C309" i="7"/>
  <c r="D309" i="7"/>
  <c r="F309" i="7"/>
  <c r="A310" i="7"/>
  <c r="C310" i="7"/>
  <c r="D310" i="7"/>
  <c r="F310" i="7"/>
  <c r="A311" i="7"/>
  <c r="C311" i="7"/>
  <c r="D311" i="7"/>
  <c r="F311" i="7"/>
  <c r="A312" i="7"/>
  <c r="C312" i="7"/>
  <c r="D312" i="7"/>
  <c r="F312" i="7"/>
  <c r="A313" i="7"/>
  <c r="C313" i="7"/>
  <c r="D313" i="7"/>
  <c r="F313" i="7"/>
  <c r="A314" i="7"/>
  <c r="C314" i="7"/>
  <c r="D314" i="7"/>
  <c r="F314" i="7"/>
  <c r="A315" i="7"/>
  <c r="C315" i="7"/>
  <c r="D315" i="7"/>
  <c r="F315" i="7"/>
  <c r="A316" i="7"/>
  <c r="C316" i="7"/>
  <c r="F316" i="7"/>
  <c r="A317" i="7"/>
  <c r="C317" i="7"/>
  <c r="F317" i="7"/>
  <c r="A318" i="7"/>
  <c r="C318" i="7"/>
  <c r="F318" i="7"/>
  <c r="A319" i="7"/>
  <c r="C319" i="7"/>
  <c r="D319" i="7"/>
  <c r="F319" i="7"/>
  <c r="A320" i="7"/>
  <c r="C320" i="7"/>
  <c r="D320" i="7"/>
  <c r="F320" i="7"/>
  <c r="A321" i="7"/>
  <c r="C321" i="7"/>
  <c r="D321" i="7"/>
  <c r="F321" i="7"/>
  <c r="A322" i="7"/>
  <c r="C322" i="7"/>
  <c r="D322" i="7"/>
  <c r="F322" i="7"/>
  <c r="A323" i="7"/>
  <c r="C323" i="7"/>
  <c r="D323" i="7"/>
  <c r="F323" i="7"/>
  <c r="A324" i="7"/>
  <c r="C324" i="7"/>
  <c r="F324" i="7"/>
  <c r="A325" i="7"/>
  <c r="C325" i="7"/>
  <c r="D325" i="7"/>
  <c r="F325" i="7"/>
  <c r="A326" i="7"/>
  <c r="C326" i="7"/>
  <c r="D326" i="7"/>
  <c r="F326" i="7"/>
  <c r="A327" i="7"/>
  <c r="C327" i="7"/>
  <c r="D327" i="7"/>
  <c r="F327" i="7"/>
  <c r="A328" i="7"/>
  <c r="C328" i="7"/>
  <c r="F328" i="7"/>
  <c r="A329" i="7"/>
  <c r="C329" i="7"/>
  <c r="F329" i="7"/>
  <c r="A330" i="7"/>
  <c r="C330" i="7"/>
  <c r="F330" i="7"/>
  <c r="A331" i="7"/>
  <c r="C331" i="7"/>
  <c r="F331" i="7"/>
  <c r="A332" i="7"/>
  <c r="C332" i="7"/>
  <c r="F332" i="7"/>
  <c r="A333" i="7"/>
  <c r="C333" i="7"/>
  <c r="F333" i="7"/>
  <c r="A334" i="7"/>
  <c r="C334" i="7"/>
  <c r="F334" i="7"/>
  <c r="A335" i="7"/>
  <c r="C335" i="7"/>
  <c r="F335" i="7"/>
  <c r="A336" i="7"/>
  <c r="C336" i="7"/>
  <c r="F336" i="7"/>
  <c r="A337" i="7"/>
  <c r="C337" i="7"/>
  <c r="F337" i="7"/>
  <c r="A338" i="7"/>
  <c r="C338" i="7"/>
  <c r="F338" i="7"/>
  <c r="A339" i="7"/>
  <c r="C339" i="7"/>
  <c r="F339" i="7"/>
  <c r="A340" i="7"/>
  <c r="C340" i="7"/>
  <c r="F340" i="7"/>
  <c r="B1" i="21"/>
  <c r="B1" i="16"/>
  <c r="E10" i="16"/>
  <c r="E14" i="16"/>
  <c r="H17" i="16"/>
  <c r="E23" i="16"/>
  <c r="E27" i="16"/>
  <c r="E32" i="16"/>
  <c r="E41" i="16"/>
  <c r="E45" i="16"/>
  <c r="E50" i="16"/>
  <c r="E60" i="16"/>
  <c r="E64" i="16"/>
  <c r="E69" i="16"/>
  <c r="BB67" i="24"/>
  <c r="BA67" i="24"/>
  <c r="BB33" i="24"/>
  <c r="BB75" i="24"/>
  <c r="BA44" i="24"/>
  <c r="BA74" i="24"/>
  <c r="BA83" i="24"/>
  <c r="BA65" i="24"/>
  <c r="BA55" i="24"/>
  <c r="BB46" i="24"/>
  <c r="BA100" i="24"/>
  <c r="BA109" i="24"/>
  <c r="BB18" i="24"/>
  <c r="BA18" i="24"/>
  <c r="BB45" i="24"/>
  <c r="BA45" i="24"/>
  <c r="BB108" i="24"/>
  <c r="BA108" i="24"/>
  <c r="BB90" i="24"/>
  <c r="BA49" i="24"/>
  <c r="BA24" i="24"/>
  <c r="BA66" i="24"/>
  <c r="BA26" i="24"/>
  <c r="BA6" i="24"/>
  <c r="BA15" i="24"/>
  <c r="BA21" i="24"/>
  <c r="BA37" i="24"/>
  <c r="BA38" i="24"/>
  <c r="BA58" i="24"/>
  <c r="BA80" i="24"/>
  <c r="BA101" i="24"/>
  <c r="BA13" i="24"/>
  <c r="BA59" i="24"/>
  <c r="BA85" i="24"/>
  <c r="BA106" i="24"/>
  <c r="A31" i="17"/>
  <c r="BB82" i="24"/>
  <c r="BA82" i="24"/>
  <c r="BA19" i="24"/>
  <c r="BB19" i="24"/>
  <c r="K25" i="11"/>
  <c r="BB57" i="24"/>
  <c r="BA57" i="24"/>
  <c r="F19" i="21"/>
  <c r="N177" i="24"/>
  <c r="N306" i="24"/>
  <c r="H17" i="20"/>
  <c r="E41" i="21" s="1"/>
  <c r="C10" i="18"/>
  <c r="D12" i="21" s="1"/>
  <c r="C17" i="18"/>
  <c r="D31" i="21" s="1"/>
  <c r="C7" i="20"/>
  <c r="E3" i="21" s="1"/>
  <c r="D249" i="7" l="1"/>
  <c r="D138" i="7"/>
  <c r="D168" i="7"/>
  <c r="I6" i="17"/>
  <c r="L6" i="17" s="1"/>
  <c r="D56" i="17"/>
  <c r="J48" i="16" s="1"/>
  <c r="K48" i="16" s="1"/>
  <c r="D45" i="17"/>
  <c r="D44" i="16" s="1"/>
  <c r="E44" i="16" s="1"/>
  <c r="I61" i="17"/>
  <c r="D70" i="16" s="1"/>
  <c r="E70" i="16" s="1"/>
  <c r="J15" i="17"/>
  <c r="J4" i="16" s="1"/>
  <c r="K4" i="16" s="1"/>
  <c r="I62" i="17"/>
  <c r="D71" i="16" s="1"/>
  <c r="I51" i="17"/>
  <c r="J42" i="16" s="1"/>
  <c r="K42" i="16" s="1"/>
  <c r="BA5" i="24"/>
  <c r="BB5" i="24"/>
  <c r="BA40" i="24"/>
  <c r="BB40" i="24"/>
  <c r="BA88" i="24"/>
  <c r="BB88" i="24"/>
  <c r="BA105" i="24"/>
  <c r="BB105" i="24"/>
  <c r="BB73" i="24"/>
  <c r="BA73" i="24"/>
  <c r="BA35" i="24"/>
  <c r="BB35" i="24"/>
  <c r="BA29" i="24"/>
  <c r="BA61" i="24"/>
  <c r="BA69" i="24"/>
  <c r="BA81" i="24"/>
  <c r="BA8" i="24"/>
  <c r="BA87" i="24"/>
  <c r="BA63" i="24"/>
  <c r="BB17" i="24"/>
  <c r="BA20" i="24"/>
  <c r="BA97" i="24"/>
  <c r="AF300" i="12"/>
  <c r="N8" i="7" s="1"/>
  <c r="O8" i="7" s="1"/>
  <c r="D12" i="7"/>
  <c r="A1" i="18"/>
  <c r="C1" i="2"/>
  <c r="N134" i="24"/>
  <c r="N435" i="24"/>
  <c r="N478" i="24"/>
  <c r="N349" i="24"/>
  <c r="N392" i="24"/>
  <c r="N91" i="24"/>
  <c r="N263" i="24"/>
  <c r="N220" i="24"/>
  <c r="H8" i="17"/>
  <c r="J24" i="16" s="1"/>
  <c r="K24" i="16" s="1"/>
  <c r="D35" i="17"/>
  <c r="D22" i="16" s="1"/>
  <c r="I64" i="17"/>
  <c r="D73" i="16" s="1"/>
  <c r="E73" i="16" s="1"/>
  <c r="D43" i="17"/>
  <c r="D40" i="16" s="1"/>
  <c r="E40" i="16" s="1"/>
  <c r="I43" i="17"/>
  <c r="D42" i="16" s="1"/>
  <c r="E42" i="16" s="1"/>
  <c r="H23" i="17"/>
  <c r="T23" i="17" s="1"/>
  <c r="D14" i="17"/>
  <c r="D13" i="16" s="1"/>
  <c r="E13" i="16" s="1"/>
  <c r="D44" i="17"/>
  <c r="D43" i="16" s="1"/>
  <c r="E43" i="16" s="1"/>
  <c r="A1" i="20"/>
  <c r="E11" i="18"/>
  <c r="D17" i="21" s="1"/>
  <c r="C14" i="18"/>
  <c r="A1" i="24"/>
  <c r="A477" i="24" s="1"/>
  <c r="C3" i="16"/>
  <c r="A1" i="11"/>
  <c r="A1" i="8"/>
  <c r="BB7" i="24"/>
  <c r="BA7" i="24"/>
  <c r="BA11" i="24"/>
  <c r="BB11" i="24"/>
  <c r="BA23" i="24"/>
  <c r="BB23" i="24"/>
  <c r="BB62" i="24"/>
  <c r="BA62" i="24"/>
  <c r="BA92" i="24"/>
  <c r="BB92" i="24"/>
  <c r="BB103" i="24"/>
  <c r="BA103" i="24"/>
  <c r="BB25" i="24"/>
  <c r="BA25" i="24"/>
  <c r="BB99" i="24"/>
  <c r="BA99" i="24"/>
  <c r="BB104" i="24"/>
  <c r="BA104" i="24"/>
  <c r="BB39" i="24"/>
  <c r="BA39" i="24"/>
  <c r="BB48" i="24"/>
  <c r="BA48" i="24"/>
  <c r="BB54" i="24"/>
  <c r="BA54" i="24"/>
  <c r="BA12" i="24"/>
  <c r="BB12" i="24"/>
  <c r="BA64" i="24"/>
  <c r="BB64" i="24"/>
  <c r="BB102" i="24"/>
  <c r="BA102" i="24"/>
  <c r="BB3" i="24"/>
  <c r="BA3" i="24"/>
  <c r="BA47" i="24"/>
  <c r="BB47" i="24"/>
  <c r="BB51" i="24"/>
  <c r="BA51" i="24"/>
  <c r="BB71" i="24"/>
  <c r="BA71" i="24"/>
  <c r="BB79" i="24"/>
  <c r="BA79" i="24"/>
  <c r="BB107" i="24"/>
  <c r="BA107" i="24"/>
  <c r="BB9" i="24"/>
  <c r="BA9" i="24"/>
  <c r="BA10" i="24"/>
  <c r="BB10" i="24"/>
  <c r="BA14" i="24"/>
  <c r="BB14" i="24"/>
  <c r="BA22" i="24"/>
  <c r="BB22" i="24"/>
  <c r="BB96" i="24"/>
  <c r="BA96" i="24"/>
  <c r="D283" i="7"/>
  <c r="BA72" i="24"/>
  <c r="BA27" i="24"/>
  <c r="Q32" i="9"/>
  <c r="BA93" i="24"/>
  <c r="BB77" i="24"/>
  <c r="D318" i="7"/>
  <c r="AC300" i="12"/>
  <c r="N5" i="7" s="1"/>
  <c r="BB70" i="24"/>
  <c r="D279" i="7"/>
  <c r="BA53" i="24"/>
  <c r="K17" i="20"/>
  <c r="E47" i="21" s="1"/>
  <c r="BB32" i="24"/>
  <c r="BA42" i="24"/>
  <c r="BA95" i="24"/>
  <c r="BA60" i="24"/>
  <c r="BA36" i="24"/>
  <c r="AB300" i="12"/>
  <c r="N4" i="7" s="1"/>
  <c r="BA68" i="24"/>
  <c r="BA30" i="24"/>
  <c r="BA41" i="24"/>
  <c r="BB76" i="24"/>
  <c r="Q25" i="9"/>
  <c r="D234" i="7"/>
  <c r="D7" i="20"/>
  <c r="E5" i="21" s="1"/>
  <c r="D13" i="20"/>
  <c r="E23" i="21" s="1"/>
  <c r="I6" i="16"/>
  <c r="E7" i="20"/>
  <c r="E7" i="21" s="1"/>
  <c r="E14" i="20"/>
  <c r="E26" i="21" s="1"/>
  <c r="F16" i="20"/>
  <c r="E36" i="21" s="1"/>
  <c r="D17" i="20"/>
  <c r="E33" i="21" s="1"/>
  <c r="C17" i="20"/>
  <c r="E31" i="21" s="1"/>
  <c r="F31" i="21" s="1"/>
  <c r="K16" i="20"/>
  <c r="E46" i="21" s="1"/>
  <c r="D65" i="17"/>
  <c r="D68" i="16" s="1"/>
  <c r="E68" i="16" s="1"/>
  <c r="D57" i="17"/>
  <c r="J49" i="16" s="1"/>
  <c r="K49" i="16" s="1"/>
  <c r="J21" i="17"/>
  <c r="V21" i="17" s="1"/>
  <c r="H21" i="17"/>
  <c r="T21" i="17" s="1"/>
  <c r="C11" i="20"/>
  <c r="E13" i="21" s="1"/>
  <c r="D36" i="17"/>
  <c r="D25" i="16" s="1"/>
  <c r="E25" i="16" s="1"/>
  <c r="I46" i="17"/>
  <c r="D52" i="16" s="1"/>
  <c r="E52" i="16" s="1"/>
  <c r="D38" i="17"/>
  <c r="D28" i="16" s="1"/>
  <c r="E28" i="16" s="1"/>
  <c r="D21" i="17"/>
  <c r="J10" i="16" s="1"/>
  <c r="K10" i="16" s="1"/>
  <c r="E13" i="20"/>
  <c r="E25" i="21" s="1"/>
  <c r="C14" i="20"/>
  <c r="E22" i="21" s="1"/>
  <c r="J16" i="20"/>
  <c r="E44" i="21" s="1"/>
  <c r="D11" i="20"/>
  <c r="E15" i="21" s="1"/>
  <c r="F7" i="20"/>
  <c r="E9" i="21" s="1"/>
  <c r="E17" i="20"/>
  <c r="E35" i="21" s="1"/>
  <c r="I16" i="20"/>
  <c r="E42" i="21" s="1"/>
  <c r="F17" i="20"/>
  <c r="E37" i="21" s="1"/>
  <c r="J17" i="20"/>
  <c r="E45" i="21" s="1"/>
  <c r="A1" i="9"/>
  <c r="A1" i="13"/>
  <c r="E1" i="12"/>
  <c r="A1" i="10"/>
  <c r="A32" i="4"/>
  <c r="AH17" i="24"/>
  <c r="A264" i="24"/>
  <c r="H8" i="8"/>
  <c r="A436" i="24"/>
  <c r="O221" i="24"/>
  <c r="O178" i="24"/>
  <c r="R22" i="4"/>
  <c r="S22" i="4" s="1"/>
  <c r="I13" i="16" s="1"/>
  <c r="R23" i="4"/>
  <c r="S23" i="4" s="1"/>
  <c r="I15" i="16" s="1"/>
  <c r="O307" i="24"/>
  <c r="O92" i="24"/>
  <c r="O264" i="24"/>
  <c r="O393" i="24"/>
  <c r="O135" i="24"/>
  <c r="O479" i="24"/>
  <c r="O350" i="24"/>
  <c r="O49" i="24"/>
  <c r="AH22" i="24"/>
  <c r="AH23" i="24"/>
  <c r="AH24" i="24"/>
  <c r="AH25" i="24"/>
  <c r="AH26" i="24"/>
  <c r="AH21" i="24"/>
  <c r="AH19" i="24"/>
  <c r="AH16" i="24"/>
  <c r="AE14" i="24"/>
  <c r="A24" i="8" s="1"/>
  <c r="R25" i="8" s="1"/>
  <c r="A25" i="8" s="1"/>
  <c r="AH15" i="24"/>
  <c r="AJ14" i="24"/>
  <c r="P1" i="24" s="1"/>
  <c r="D317" i="7"/>
  <c r="L23" i="8"/>
  <c r="D328" i="7" s="1"/>
  <c r="D305" i="7"/>
  <c r="I23" i="8"/>
  <c r="D316" i="7" s="1"/>
  <c r="O19" i="8"/>
  <c r="D336" i="7" s="1"/>
  <c r="O13" i="8"/>
  <c r="O12" i="8" s="1"/>
  <c r="D332" i="7"/>
  <c r="F23" i="8"/>
  <c r="D304" i="7" s="1"/>
  <c r="D253" i="7"/>
  <c r="D219" i="7"/>
  <c r="D183" i="7"/>
  <c r="L19" i="10"/>
  <c r="K25" i="10" s="1"/>
  <c r="D27" i="7"/>
  <c r="D31" i="7"/>
  <c r="D87" i="7"/>
  <c r="L7" i="7"/>
  <c r="N32" i="9"/>
  <c r="N25" i="9"/>
  <c r="D268" i="7"/>
  <c r="D264" i="7"/>
  <c r="L5" i="7"/>
  <c r="H32" i="9"/>
  <c r="H25" i="9"/>
  <c r="K32" i="9"/>
  <c r="L6" i="7"/>
  <c r="D238" i="7"/>
  <c r="B25" i="9"/>
  <c r="D208" i="7"/>
  <c r="B32" i="9"/>
  <c r="Q25" i="10"/>
  <c r="D187" i="7"/>
  <c r="H25" i="10"/>
  <c r="D142" i="7"/>
  <c r="D91" i="7"/>
  <c r="N25" i="11"/>
  <c r="D76" i="7"/>
  <c r="H25" i="11"/>
  <c r="D46" i="7"/>
  <c r="D42" i="7"/>
  <c r="B25" i="11"/>
  <c r="A20" i="11"/>
  <c r="D16" i="7"/>
  <c r="D39" i="17"/>
  <c r="D29" i="16" s="1"/>
  <c r="E29" i="16" s="1"/>
  <c r="I63" i="17"/>
  <c r="D72" i="16" s="1"/>
  <c r="E72" i="16" s="1"/>
  <c r="J14" i="17"/>
  <c r="J7" i="16" s="1"/>
  <c r="D62" i="17"/>
  <c r="D65" i="16" s="1"/>
  <c r="E65" i="16" s="1"/>
  <c r="S7" i="17"/>
  <c r="K21" i="16" s="1"/>
  <c r="S58" i="17"/>
  <c r="E58" i="16" s="1"/>
  <c r="H7" i="17"/>
  <c r="J22" i="16" s="1"/>
  <c r="K22" i="16" s="1"/>
  <c r="D18" i="17"/>
  <c r="D18" i="16" s="1"/>
  <c r="E18" i="16" s="1"/>
  <c r="D13" i="17"/>
  <c r="D12" i="16" s="1"/>
  <c r="E12" i="16" s="1"/>
  <c r="D8" i="17"/>
  <c r="D6" i="16" s="1"/>
  <c r="E6" i="16" s="1"/>
  <c r="D22" i="17"/>
  <c r="J12" i="16" s="1"/>
  <c r="K12" i="16" s="1"/>
  <c r="D48" i="17"/>
  <c r="D48" i="16" s="1"/>
  <c r="E48" i="16" s="1"/>
  <c r="S34" i="17"/>
  <c r="E21" i="16" s="1"/>
  <c r="D11" i="17"/>
  <c r="D9" i="16" s="1"/>
  <c r="E9" i="16" s="1"/>
  <c r="H22" i="17"/>
  <c r="T22" i="17" s="1"/>
  <c r="K22" i="17"/>
  <c r="W22" i="17" s="1"/>
  <c r="I48" i="17"/>
  <c r="D54" i="16" s="1"/>
  <c r="E54" i="16" s="1"/>
  <c r="J23" i="17"/>
  <c r="V23" i="17" s="1"/>
  <c r="I53" i="17"/>
  <c r="J51" i="16" s="1"/>
  <c r="K51" i="16" s="1"/>
  <c r="K21" i="17"/>
  <c r="W21" i="17" s="1"/>
  <c r="H9" i="17"/>
  <c r="J25" i="16" s="1"/>
  <c r="K25" i="16" s="1"/>
  <c r="D61" i="17"/>
  <c r="D63" i="16" s="1"/>
  <c r="E63" i="16" s="1"/>
  <c r="D52" i="17"/>
  <c r="J43" i="16" s="1"/>
  <c r="K43" i="16" s="1"/>
  <c r="D7" i="17"/>
  <c r="D4" i="16" s="1"/>
  <c r="E4" i="16" s="1"/>
  <c r="D37" i="17"/>
  <c r="D26" i="16" s="1"/>
  <c r="E26" i="16" s="1"/>
  <c r="D41" i="17"/>
  <c r="D31" i="16" s="1"/>
  <c r="E31" i="16" s="1"/>
  <c r="I22" i="17"/>
  <c r="U22" i="17" s="1"/>
  <c r="I47" i="17"/>
  <c r="D53" i="16" s="1"/>
  <c r="E53" i="16" s="1"/>
  <c r="I21" i="17"/>
  <c r="U21" i="17" s="1"/>
  <c r="D46" i="17"/>
  <c r="D46" i="16" s="1"/>
  <c r="E46" i="16" s="1"/>
  <c r="I23" i="17"/>
  <c r="U23" i="17" s="1"/>
  <c r="E5" i="17"/>
  <c r="I55" i="17"/>
  <c r="J53" i="16" s="1"/>
  <c r="K53" i="16" s="1"/>
  <c r="D15" i="17"/>
  <c r="D15" i="16" s="1"/>
  <c r="E15" i="16" s="1"/>
  <c r="I59" i="17"/>
  <c r="D61" i="16" s="1"/>
  <c r="E61" i="16" s="1"/>
  <c r="I38" i="17"/>
  <c r="D34" i="16" s="1"/>
  <c r="E34" i="16" s="1"/>
  <c r="D16" i="17"/>
  <c r="D16" i="16" s="1"/>
  <c r="E16" i="16" s="1"/>
  <c r="I54" i="17"/>
  <c r="J52" i="16" s="1"/>
  <c r="K52" i="16" s="1"/>
  <c r="D60" i="17"/>
  <c r="D62" i="16" s="1"/>
  <c r="E62" i="16" s="1"/>
  <c r="H11" i="17"/>
  <c r="J27" i="16" s="1"/>
  <c r="K27" i="16" s="1"/>
  <c r="D59" i="17"/>
  <c r="D59" i="16" s="1"/>
  <c r="J13" i="17"/>
  <c r="J6" i="16" s="1"/>
  <c r="D64" i="17"/>
  <c r="D67" i="16" s="1"/>
  <c r="E67" i="16" s="1"/>
  <c r="I35" i="17"/>
  <c r="D24" i="16" s="1"/>
  <c r="E24" i="16" s="1"/>
  <c r="L6" i="4"/>
  <c r="D17" i="17"/>
  <c r="D17" i="16" s="1"/>
  <c r="E17" i="16" s="1"/>
  <c r="I45" i="17"/>
  <c r="D51" i="16" s="1"/>
  <c r="E51" i="16" s="1"/>
  <c r="D12" i="17"/>
  <c r="D11" i="16" s="1"/>
  <c r="E11" i="16" s="1"/>
  <c r="D51" i="17"/>
  <c r="J40" i="16" s="1"/>
  <c r="K40" i="16" s="1"/>
  <c r="D49" i="17"/>
  <c r="D49" i="16" s="1"/>
  <c r="E49" i="16" s="1"/>
  <c r="D40" i="17"/>
  <c r="D30" i="16" s="1"/>
  <c r="E30" i="16" s="1"/>
  <c r="D47" i="17"/>
  <c r="D47" i="16" s="1"/>
  <c r="E47" i="16" s="1"/>
  <c r="I37" i="17"/>
  <c r="D33" i="16" s="1"/>
  <c r="E33" i="16" s="1"/>
  <c r="S50" i="17"/>
  <c r="K39" i="16" s="1"/>
  <c r="I56" i="17"/>
  <c r="J54" i="16" s="1"/>
  <c r="K54" i="16" s="1"/>
  <c r="D9" i="17"/>
  <c r="D7" i="16" s="1"/>
  <c r="E7" i="16" s="1"/>
  <c r="I40" i="17"/>
  <c r="D36" i="16" s="1"/>
  <c r="E36" i="16" s="1"/>
  <c r="D63" i="17"/>
  <c r="D66" i="16" s="1"/>
  <c r="E66" i="16" s="1"/>
  <c r="D53" i="17"/>
  <c r="J44" i="16" s="1"/>
  <c r="K44" i="16" s="1"/>
  <c r="I39" i="17"/>
  <c r="D35" i="16" s="1"/>
  <c r="E35" i="16" s="1"/>
  <c r="S42" i="17"/>
  <c r="E39" i="16" s="1"/>
  <c r="E2" i="16"/>
  <c r="D55" i="17"/>
  <c r="J47" i="16" s="1"/>
  <c r="K47" i="16" s="1"/>
  <c r="K23" i="17"/>
  <c r="W23" i="17" s="1"/>
  <c r="H10" i="17"/>
  <c r="J26" i="16" s="1"/>
  <c r="K26" i="16" s="1"/>
  <c r="J22" i="17"/>
  <c r="V22" i="17" s="1"/>
  <c r="D54" i="17"/>
  <c r="J46" i="16" s="1"/>
  <c r="K46" i="16" s="1"/>
  <c r="D6" i="17"/>
  <c r="D3" i="16" s="1"/>
  <c r="A49" i="24"/>
  <c r="A307" i="24"/>
  <c r="I17" i="20"/>
  <c r="E43" i="21" s="1"/>
  <c r="A92" i="24"/>
  <c r="A178" i="24"/>
  <c r="A350" i="24"/>
  <c r="C16" i="20"/>
  <c r="E30" i="21" s="1"/>
  <c r="F14" i="20"/>
  <c r="E28" i="21" s="1"/>
  <c r="D8" i="20"/>
  <c r="E6" i="21" s="1"/>
  <c r="D10" i="20"/>
  <c r="E14" i="21" s="1"/>
  <c r="E16" i="20"/>
  <c r="E34" i="21" s="1"/>
  <c r="C10" i="20"/>
  <c r="E12" i="21" s="1"/>
  <c r="F12" i="21" s="1"/>
  <c r="F17" i="18"/>
  <c r="D37" i="21" s="1"/>
  <c r="D10" i="17"/>
  <c r="D8" i="16" s="1"/>
  <c r="E8" i="16" s="1"/>
  <c r="A479" i="24"/>
  <c r="C13" i="18"/>
  <c r="C59" i="16"/>
  <c r="A221" i="24"/>
  <c r="G16" i="20"/>
  <c r="E38" i="21" s="1"/>
  <c r="A6" i="24"/>
  <c r="A135" i="24"/>
  <c r="F8" i="20"/>
  <c r="E10" i="21" s="1"/>
  <c r="E11" i="20"/>
  <c r="E17" i="21" s="1"/>
  <c r="H16" i="20"/>
  <c r="E40" i="21" s="1"/>
  <c r="E8" i="20"/>
  <c r="E8" i="21" s="1"/>
  <c r="D16" i="20"/>
  <c r="E32" i="21" s="1"/>
  <c r="C16" i="18"/>
  <c r="D30" i="21" s="1"/>
  <c r="C13" i="20"/>
  <c r="E21" i="21" s="1"/>
  <c r="C8" i="20"/>
  <c r="E4" i="21" s="1"/>
  <c r="F13" i="20"/>
  <c r="E27" i="21" s="1"/>
  <c r="D14" i="20"/>
  <c r="E24" i="21" s="1"/>
  <c r="E10" i="20"/>
  <c r="E16" i="21" s="1"/>
  <c r="F13" i="18"/>
  <c r="J16" i="18"/>
  <c r="D7" i="18"/>
  <c r="U6" i="18" s="1"/>
  <c r="U7" i="18" s="1"/>
  <c r="E17" i="18"/>
  <c r="D11" i="18"/>
  <c r="E7" i="18"/>
  <c r="F7" i="18"/>
  <c r="T17" i="18"/>
  <c r="G17" i="18"/>
  <c r="G16" i="18"/>
  <c r="D38" i="21" s="1"/>
  <c r="K17" i="18"/>
  <c r="E8" i="18"/>
  <c r="D8" i="21" s="1"/>
  <c r="D17" i="18"/>
  <c r="E71" i="16"/>
  <c r="I16" i="18"/>
  <c r="Z15" i="18" s="1"/>
  <c r="Z16" i="18" s="1"/>
  <c r="H16" i="18"/>
  <c r="F8" i="18"/>
  <c r="W8" i="18" s="1"/>
  <c r="J17" i="18"/>
  <c r="K14" i="16"/>
  <c r="F19" i="10"/>
  <c r="D123" i="7"/>
  <c r="BA16" i="24"/>
  <c r="BB16" i="24"/>
  <c r="BA78" i="24"/>
  <c r="BB78" i="24"/>
  <c r="BB86" i="24"/>
  <c r="BA86" i="24"/>
  <c r="BB28" i="24"/>
  <c r="BA28" i="24"/>
  <c r="BB43" i="24"/>
  <c r="BA43" i="24"/>
  <c r="BB56" i="24"/>
  <c r="BA56" i="24"/>
  <c r="BB110" i="24"/>
  <c r="BA110" i="24"/>
  <c r="J3" i="16"/>
  <c r="K3" i="16" s="1"/>
  <c r="BA94" i="24"/>
  <c r="BA50" i="24"/>
  <c r="BA98" i="24"/>
  <c r="L35" i="4"/>
  <c r="C22" i="16"/>
  <c r="D10" i="18"/>
  <c r="E16" i="18"/>
  <c r="E10" i="18"/>
  <c r="D13" i="18"/>
  <c r="D14" i="18"/>
  <c r="E13" i="18"/>
  <c r="C8" i="18"/>
  <c r="E14" i="18"/>
  <c r="D16" i="18"/>
  <c r="H17" i="18"/>
  <c r="C7" i="18"/>
  <c r="F16" i="18"/>
  <c r="I17" i="18"/>
  <c r="F14" i="18"/>
  <c r="D8" i="18"/>
  <c r="K16" i="18"/>
  <c r="C11" i="18"/>
  <c r="U21" i="4"/>
  <c r="R21" i="4" s="1"/>
  <c r="S21" i="4" s="1"/>
  <c r="I11" i="16" s="1"/>
  <c r="H24" i="4"/>
  <c r="N25" i="10"/>
  <c r="D172" i="7"/>
  <c r="L4" i="7"/>
  <c r="D223" i="7"/>
  <c r="E25" i="9"/>
  <c r="A20" i="9"/>
  <c r="E32" i="9"/>
  <c r="AA300" i="12"/>
  <c r="N3" i="7" s="1"/>
  <c r="AD300" i="12"/>
  <c r="N6" i="7" s="1"/>
  <c r="AE300" i="12"/>
  <c r="N7" i="7" s="1"/>
  <c r="T9" i="18"/>
  <c r="T10" i="18" s="1"/>
  <c r="BA4" i="24"/>
  <c r="D294" i="7"/>
  <c r="I7" i="16"/>
  <c r="L14" i="4"/>
  <c r="D157" i="7"/>
  <c r="D112" i="7"/>
  <c r="D108" i="7"/>
  <c r="AH20" i="24"/>
  <c r="BA84" i="24"/>
  <c r="BB84" i="24"/>
  <c r="BA91" i="24"/>
  <c r="BB91" i="24"/>
  <c r="BA31" i="24"/>
  <c r="BB31" i="24"/>
  <c r="AH18" i="24"/>
  <c r="E22" i="16" l="1"/>
  <c r="V11" i="18"/>
  <c r="A133" i="24"/>
  <c r="A90" i="24"/>
  <c r="A348" i="24"/>
  <c r="A262" i="24"/>
  <c r="A305" i="24"/>
  <c r="F17" i="21"/>
  <c r="A47" i="24"/>
  <c r="A434" i="24"/>
  <c r="E3" i="16"/>
  <c r="A176" i="24"/>
  <c r="A219" i="24"/>
  <c r="A391" i="24"/>
  <c r="R21" i="17"/>
  <c r="S21" i="17" s="1"/>
  <c r="J11" i="16" s="1"/>
  <c r="K11" i="16" s="1"/>
  <c r="O5" i="7"/>
  <c r="O6" i="7"/>
  <c r="K6" i="16"/>
  <c r="F37" i="21"/>
  <c r="W17" i="18"/>
  <c r="T15" i="18"/>
  <c r="T16" i="18" s="1"/>
  <c r="F38" i="21"/>
  <c r="K7" i="16"/>
  <c r="F30" i="21"/>
  <c r="D42" i="21"/>
  <c r="F42" i="21" s="1"/>
  <c r="H24" i="17"/>
  <c r="X15" i="18"/>
  <c r="X16" i="18" s="1"/>
  <c r="V8" i="18"/>
  <c r="F8" i="21"/>
  <c r="E59" i="16"/>
  <c r="R23" i="17"/>
  <c r="S23" i="17" s="1"/>
  <c r="J15" i="16" s="1"/>
  <c r="K15" i="16" s="1"/>
  <c r="R22" i="17"/>
  <c r="S22" i="17" s="1"/>
  <c r="J13" i="16" s="1"/>
  <c r="K13" i="16" s="1"/>
  <c r="AH14" i="24"/>
  <c r="G24" i="8"/>
  <c r="W7" i="8"/>
  <c r="D330" i="7"/>
  <c r="O23" i="8"/>
  <c r="D329" i="7"/>
  <c r="O7" i="7"/>
  <c r="A32" i="17"/>
  <c r="D21" i="21"/>
  <c r="F21" i="21" s="1"/>
  <c r="T12" i="18"/>
  <c r="T13" i="18" s="1"/>
  <c r="D39" i="21"/>
  <c r="F39" i="21" s="1"/>
  <c r="X17" i="18"/>
  <c r="D10" i="21"/>
  <c r="F10" i="21" s="1"/>
  <c r="D5" i="21"/>
  <c r="F5" i="21" s="1"/>
  <c r="D47" i="21"/>
  <c r="F47" i="21" s="1"/>
  <c r="AB17" i="18"/>
  <c r="V6" i="18"/>
  <c r="V7" i="18" s="1"/>
  <c r="D7" i="21"/>
  <c r="F7" i="21" s="1"/>
  <c r="D44" i="21"/>
  <c r="F44" i="21" s="1"/>
  <c r="AA15" i="18"/>
  <c r="AA16" i="18" s="1"/>
  <c r="Y15" i="18"/>
  <c r="Y16" i="18" s="1"/>
  <c r="D40" i="21"/>
  <c r="F40" i="21" s="1"/>
  <c r="D45" i="21"/>
  <c r="F45" i="21" s="1"/>
  <c r="AA17" i="18"/>
  <c r="D33" i="21"/>
  <c r="F33" i="21" s="1"/>
  <c r="U17" i="18"/>
  <c r="T14" i="18"/>
  <c r="D22" i="21"/>
  <c r="F22" i="21" s="1"/>
  <c r="D9" i="21"/>
  <c r="F9" i="21" s="1"/>
  <c r="W6" i="18"/>
  <c r="W7" i="18" s="1"/>
  <c r="U11" i="18"/>
  <c r="D15" i="21"/>
  <c r="F15" i="21" s="1"/>
  <c r="D27" i="21"/>
  <c r="F27" i="21" s="1"/>
  <c r="W12" i="18"/>
  <c r="W13" i="18" s="1"/>
  <c r="V17" i="18"/>
  <c r="D35" i="21"/>
  <c r="F35" i="21" s="1"/>
  <c r="D13" i="21"/>
  <c r="F13" i="21" s="1"/>
  <c r="T11" i="18"/>
  <c r="D43" i="21"/>
  <c r="F43" i="21" s="1"/>
  <c r="Z17" i="18"/>
  <c r="D32" i="21"/>
  <c r="F32" i="21" s="1"/>
  <c r="U15" i="18"/>
  <c r="U16" i="18" s="1"/>
  <c r="D24" i="21"/>
  <c r="F24" i="21" s="1"/>
  <c r="U14" i="18"/>
  <c r="D14" i="21"/>
  <c r="F14" i="21" s="1"/>
  <c r="U9" i="18"/>
  <c r="U10" i="18" s="1"/>
  <c r="D46" i="21"/>
  <c r="F46" i="21" s="1"/>
  <c r="AB15" i="18"/>
  <c r="AB16" i="18" s="1"/>
  <c r="W15" i="18"/>
  <c r="W16" i="18" s="1"/>
  <c r="D36" i="21"/>
  <c r="F36" i="21" s="1"/>
  <c r="D26" i="21"/>
  <c r="F26" i="21" s="1"/>
  <c r="V14" i="18"/>
  <c r="U12" i="18"/>
  <c r="U13" i="18" s="1"/>
  <c r="D23" i="21"/>
  <c r="F23" i="21" s="1"/>
  <c r="O3" i="7"/>
  <c r="N9" i="7"/>
  <c r="D6" i="21"/>
  <c r="F6" i="21" s="1"/>
  <c r="U8" i="18"/>
  <c r="T6" i="18"/>
  <c r="T7" i="18" s="1"/>
  <c r="D3" i="21"/>
  <c r="F3" i="21" s="1"/>
  <c r="T8" i="18"/>
  <c r="D4" i="21"/>
  <c r="F4" i="21" s="1"/>
  <c r="V9" i="18"/>
  <c r="V10" i="18" s="1"/>
  <c r="D16" i="21"/>
  <c r="F16" i="21" s="1"/>
  <c r="E25" i="10"/>
  <c r="D127" i="7"/>
  <c r="A20" i="10"/>
  <c r="T5" i="18" s="1"/>
  <c r="O4" i="7"/>
  <c r="L9" i="7"/>
  <c r="W14" i="18"/>
  <c r="D28" i="21"/>
  <c r="F28" i="21" s="1"/>
  <c r="Y17" i="18"/>
  <c r="D41" i="21"/>
  <c r="F41" i="21" s="1"/>
  <c r="V12" i="18"/>
  <c r="V13" i="18" s="1"/>
  <c r="D25" i="21"/>
  <c r="F25" i="21" s="1"/>
  <c r="D34" i="21"/>
  <c r="F34" i="21" s="1"/>
  <c r="V15" i="18"/>
  <c r="V16" i="18" s="1"/>
  <c r="G7" i="18" l="1"/>
  <c r="G13" i="18"/>
  <c r="M24" i="8"/>
  <c r="T25" i="8" s="1"/>
  <c r="D340" i="7"/>
  <c r="V7" i="8"/>
  <c r="X10" i="18"/>
  <c r="AC16" i="18"/>
  <c r="C18" i="18"/>
  <c r="G10" i="18"/>
  <c r="X13" i="18"/>
  <c r="X7" i="18"/>
  <c r="J25" i="8" l="1"/>
  <c r="A30" i="4"/>
  <c r="R30" i="4" s="1"/>
  <c r="M26" i="8"/>
  <c r="U5" i="18"/>
  <c r="G9" i="18" s="1"/>
  <c r="F31" i="4" l="1"/>
  <c r="A31" i="4"/>
</calcChain>
</file>

<file path=xl/sharedStrings.xml><?xml version="1.0" encoding="utf-8"?>
<sst xmlns="http://schemas.openxmlformats.org/spreadsheetml/2006/main" count="17822" uniqueCount="3303">
  <si>
    <t>CXC First Name</t>
  </si>
  <si>
    <t>CXC Last Name</t>
  </si>
  <si>
    <t>CXC Title</t>
  </si>
  <si>
    <t>CXC org name</t>
  </si>
  <si>
    <t>CXC Phone</t>
  </si>
  <si>
    <t>CXC Extension</t>
  </si>
  <si>
    <t>CXC Fax</t>
  </si>
  <si>
    <t>CXC e-mail</t>
  </si>
  <si>
    <t>CXC Address</t>
  </si>
  <si>
    <t>CXC Multiple unit</t>
  </si>
  <si>
    <t>CXC City</t>
  </si>
  <si>
    <t>CXC County</t>
  </si>
  <si>
    <t>CXC State</t>
  </si>
  <si>
    <t>CXC Zip</t>
  </si>
  <si>
    <t>CXC Zip4</t>
  </si>
  <si>
    <t>CC2-First_Name &amp;
CC2-Last_Name</t>
  </si>
  <si>
    <t>Zip5 &amp;
Zip4</t>
  </si>
  <si>
    <t>FP-Zip5 &amp;
FP-Zip4</t>
  </si>
  <si>
    <t>CC2-Zip5 &amp;
CC2-Zip4</t>
  </si>
  <si>
    <t>MA-Zip5 &amp;
MA-Zip4</t>
  </si>
  <si>
    <t>CC1-Zip5 &amp;
CC1-Zip4</t>
  </si>
  <si>
    <t>CXC-Zip5 &amp;
CXC-Zip4</t>
  </si>
  <si>
    <t>Vref</t>
  </si>
  <si>
    <t>Months in YR</t>
  </si>
  <si>
    <t>CC1-First_Name &amp;
CC1-Last_Name</t>
  </si>
  <si>
    <t>OWNER_HCCIS_ID</t>
  </si>
  <si>
    <t>cap exp</t>
  </si>
  <si>
    <t>hccid_id</t>
  </si>
  <si>
    <t>rpt_year</t>
  </si>
  <si>
    <t>equip_type</t>
  </si>
  <si>
    <t>load script</t>
  </si>
  <si>
    <t>formset_type_id</t>
  </si>
  <si>
    <t>Diagnostic Imaging Facility Identification</t>
  </si>
  <si>
    <t>Web Site Address</t>
  </si>
  <si>
    <r>
      <t>HCCIS ID</t>
    </r>
    <r>
      <rPr>
        <b/>
        <sz val="9"/>
        <rFont val="Arial"/>
        <family val="2"/>
      </rPr>
      <t/>
    </r>
  </si>
  <si>
    <t>Mailing Address</t>
  </si>
  <si>
    <t>PET Procedures</t>
  </si>
  <si>
    <t>MRI Procedures</t>
  </si>
  <si>
    <t>Credential</t>
  </si>
  <si>
    <t>Diagnostic Imaging Facility</t>
  </si>
  <si>
    <t>Diagnostic Imaging Facility Name</t>
  </si>
  <si>
    <t>Multiple unit</t>
  </si>
  <si>
    <t>Zip</t>
  </si>
  <si>
    <t>Zip4</t>
  </si>
  <si>
    <t>Phone</t>
  </si>
  <si>
    <t>Fax</t>
  </si>
  <si>
    <t>Administrator First Name</t>
  </si>
  <si>
    <t>Administrator Last Name</t>
  </si>
  <si>
    <t>Administrator Title</t>
  </si>
  <si>
    <t>Administrator e-mail</t>
  </si>
  <si>
    <t>CFO Name</t>
  </si>
  <si>
    <t>Contact Person First Name</t>
  </si>
  <si>
    <t>Contact Person Last Name</t>
  </si>
  <si>
    <t>Web site</t>
  </si>
  <si>
    <t>MN</t>
  </si>
  <si>
    <t>e-mail</t>
  </si>
  <si>
    <t>N/A</t>
  </si>
  <si>
    <t>Complete this page, print it and have it signed.  Indicate any changes or corrections to data shown.</t>
  </si>
  <si>
    <t xml:space="preserve"> # of Months in Reporting Year</t>
  </si>
  <si>
    <t>Fiscal Year</t>
  </si>
  <si>
    <t>Please disregard the order of the account numbers.  These are for MDH recording purposes only and do not reflect any priority to the data items on the form.</t>
  </si>
  <si>
    <t>start of formset</t>
  </si>
  <si>
    <t>System Affiliation 1</t>
  </si>
  <si>
    <t>Affiliation Type 1</t>
  </si>
  <si>
    <t>System Affiliation 2</t>
  </si>
  <si>
    <t>Affiliation Type 2</t>
  </si>
  <si>
    <t>HCCIS_ID</t>
  </si>
  <si>
    <t>RPT_YEAR</t>
  </si>
  <si>
    <t>CODE</t>
  </si>
  <si>
    <t>VALUE</t>
  </si>
  <si>
    <t>FP org name</t>
  </si>
  <si>
    <t>FP Phone</t>
  </si>
  <si>
    <t>FP Extension</t>
  </si>
  <si>
    <t>FP Fax</t>
  </si>
  <si>
    <t>FP e-mail</t>
  </si>
  <si>
    <t>FP Address</t>
  </si>
  <si>
    <t>FP Multiple unit</t>
  </si>
  <si>
    <t>FP City</t>
  </si>
  <si>
    <t>FP County</t>
  </si>
  <si>
    <t>FP State</t>
  </si>
  <si>
    <t>FP Zip</t>
  </si>
  <si>
    <t>FP Zip4</t>
  </si>
  <si>
    <t>Project 1</t>
  </si>
  <si>
    <t>Change</t>
  </si>
  <si>
    <t>Project 2</t>
  </si>
  <si>
    <t>Project 3</t>
  </si>
  <si>
    <t>Project 4</t>
  </si>
  <si>
    <t>NPI</t>
  </si>
  <si>
    <t xml:space="preserve"> </t>
  </si>
  <si>
    <t>Leave data accounts blank when they are not applicable to your facility.  Use a zero only when the amount is zero.  If data are unavailable, please make note in the e-mail when submitting the report.</t>
  </si>
  <si>
    <t>Average Number of Hours/Month this Mobile Unit was Operated at this Location</t>
  </si>
  <si>
    <t>Total Number of Procedures Performed on this Mobile Unit at this Location</t>
  </si>
  <si>
    <t>Fixed</t>
  </si>
  <si>
    <t>Portable</t>
  </si>
  <si>
    <t>Mobile</t>
  </si>
  <si>
    <t>Type of Mobile Equipment (check only 1 per location)</t>
  </si>
  <si>
    <t>Please enter the number of fixed scanners at this location.</t>
  </si>
  <si>
    <t>Section 2: Count of Fixed Equipment</t>
  </si>
  <si>
    <t>Number of Hours/Month this Equipment was Leased</t>
  </si>
  <si>
    <t>Type of Equipment</t>
  </si>
  <si>
    <t>Scanner</t>
  </si>
  <si>
    <t>Please enter the number of portable scanners at this location.</t>
  </si>
  <si>
    <t>Fixed Equipment</t>
  </si>
  <si>
    <t>Portable Equipment</t>
  </si>
  <si>
    <t>Mobile Equipment</t>
  </si>
  <si>
    <t>Jump to applicable reporting sections</t>
  </si>
  <si>
    <t>Section 5: Count of Portable Equipment</t>
  </si>
  <si>
    <t>Section 6: Ownership of Portable Equipment</t>
  </si>
  <si>
    <t>Section 8: Count of Mobile Equipment</t>
  </si>
  <si>
    <t>Section 9: Ownership of Mobile Equipment</t>
  </si>
  <si>
    <t>Section 10: Leased Equipment</t>
  </si>
  <si>
    <t>Section 11: Mobile Equipment Locations</t>
  </si>
  <si>
    <t>Section 12: Financial or Economic Interest</t>
  </si>
  <si>
    <t>Section 13: Capital Expenditure Commitment Summary</t>
  </si>
  <si>
    <t>Section 14: Capital Expenditure Commitment Detail</t>
  </si>
  <si>
    <t>Capital Expenditure Contact (for sections 13 and 14)</t>
  </si>
  <si>
    <t>(select only 1)</t>
  </si>
  <si>
    <t>Compare Total Cap Exp
Proj $$s reported</t>
  </si>
  <si>
    <t>Sect 13
Summary</t>
  </si>
  <si>
    <t>Sect 14
Detail</t>
  </si>
  <si>
    <t>Project
Specific</t>
  </si>
  <si>
    <t>ECON_INTEREST_ID</t>
  </si>
  <si>
    <t>FOSRMET_TYPE_ID</t>
  </si>
  <si>
    <t>fixed</t>
  </si>
  <si>
    <t>portable</t>
  </si>
  <si>
    <t>mobile</t>
  </si>
  <si>
    <t>Each facility (freestanding or mobile unit) must complete a separate report.</t>
  </si>
  <si>
    <t>Address</t>
  </si>
  <si>
    <t>City</t>
  </si>
  <si>
    <t>Zip Code</t>
  </si>
  <si>
    <t>Facility Phone #</t>
  </si>
  <si>
    <t>Fax #</t>
  </si>
  <si>
    <t>Administrator's Name</t>
  </si>
  <si>
    <t>Administrator's Title</t>
  </si>
  <si>
    <t>CFO's Name</t>
  </si>
  <si>
    <t>County</t>
  </si>
  <si>
    <t>State</t>
  </si>
  <si>
    <t>Facility Fax #</t>
  </si>
  <si>
    <t>Title</t>
  </si>
  <si>
    <t>Direct Phone #</t>
  </si>
  <si>
    <t>Check Type of Affiliation(s):</t>
  </si>
  <si>
    <t>Owned</t>
  </si>
  <si>
    <t>Managed</t>
  </si>
  <si>
    <t>Leased</t>
  </si>
  <si>
    <t>Signed:</t>
  </si>
  <si>
    <t>Printed or Typed:</t>
  </si>
  <si>
    <t>Date:</t>
  </si>
  <si>
    <t>Position:</t>
  </si>
  <si>
    <t>Blue Cross Blue Shield</t>
  </si>
  <si>
    <t>Medica</t>
  </si>
  <si>
    <t>Auto</t>
  </si>
  <si>
    <t>Other Health Plans</t>
  </si>
  <si>
    <t>Medicare</t>
  </si>
  <si>
    <t>MinnesotaCare</t>
  </si>
  <si>
    <t>Total</t>
  </si>
  <si>
    <t>MA/PMAP</t>
  </si>
  <si>
    <t>Self Pay</t>
  </si>
  <si>
    <t>First Name</t>
  </si>
  <si>
    <t>Last Name</t>
  </si>
  <si>
    <t>Suffix</t>
  </si>
  <si>
    <t>Workers' Compensation</t>
  </si>
  <si>
    <t>Medical Equipment</t>
  </si>
  <si>
    <t>Building and Space</t>
  </si>
  <si>
    <t>THIS TAB IS HIDDEN FROM PROVIDER</t>
  </si>
  <si>
    <t>Federal Tax ID</t>
  </si>
  <si>
    <t>NAIC Code</t>
  </si>
  <si>
    <t>NAIC Group</t>
  </si>
  <si>
    <t>Accounting Method</t>
  </si>
  <si>
    <t>Type of Practice</t>
  </si>
  <si>
    <t>Country</t>
  </si>
  <si>
    <t>International Code</t>
  </si>
  <si>
    <t>pull in column W also</t>
  </si>
  <si>
    <t>Other Capital Expenditures</t>
  </si>
  <si>
    <t>Total Capital Expenditures</t>
  </si>
  <si>
    <t>Patient Care Services</t>
  </si>
  <si>
    <t>Other Patient Care Services</t>
  </si>
  <si>
    <t>Other Imaging</t>
  </si>
  <si>
    <t>General Infrastructure</t>
  </si>
  <si>
    <t>Building, Renovation, Non-Patient</t>
  </si>
  <si>
    <t>Computer, Laboratory, Phone, or Monitoring</t>
  </si>
  <si>
    <t>Electronic Medical Records</t>
  </si>
  <si>
    <t>Total Major Capital Expenditure Commitment Expense</t>
  </si>
  <si>
    <t>Contact Name</t>
  </si>
  <si>
    <t>Name of Person completing form</t>
  </si>
  <si>
    <t>PROJECT_NUMBER</t>
  </si>
  <si>
    <t>STREET_ADDRESS</t>
  </si>
  <si>
    <t>CITY_NAME</t>
  </si>
  <si>
    <t>STATE</t>
  </si>
  <si>
    <t>SPEND_COMMIT_DATE</t>
  </si>
  <si>
    <t>PROJECT_COST</t>
  </si>
  <si>
    <t>DISTANCE_TO_EQUIVALENT_SVC</t>
  </si>
  <si>
    <t>DESC_PROJECT</t>
  </si>
  <si>
    <t>DESC_PURPOSE</t>
  </si>
  <si>
    <t>PROJECT_IMPACT</t>
  </si>
  <si>
    <t>EQUIVALENT_SVC_AVAIL</t>
  </si>
  <si>
    <t>LAWFUL_COLLABORATIVE</t>
  </si>
  <si>
    <t>Capital Expenditure Project Specific Tab</t>
  </si>
  <si>
    <t>Project Location or Facility Name</t>
  </si>
  <si>
    <t>Minnesota Statutes, section 62J.17</t>
  </si>
  <si>
    <t>Projects Reported</t>
  </si>
  <si>
    <t>Total value of Projects Reported</t>
  </si>
  <si>
    <t>Project 5</t>
  </si>
  <si>
    <t>Project 6</t>
  </si>
  <si>
    <t>Project 10</t>
  </si>
  <si>
    <t>Project 9</t>
  </si>
  <si>
    <t>Project 8</t>
  </si>
  <si>
    <t>Project 7</t>
  </si>
  <si>
    <t>Facility Name</t>
  </si>
  <si>
    <t>PreferredOne</t>
  </si>
  <si>
    <t>UCare MN</t>
  </si>
  <si>
    <t>M</t>
  </si>
  <si>
    <t>Affiliation(s)</t>
  </si>
  <si>
    <t>Phone Ext</t>
  </si>
  <si>
    <t>CC2 Zip</t>
  </si>
  <si>
    <t>CC2 Zip4</t>
  </si>
  <si>
    <t>CC1 First Name</t>
  </si>
  <si>
    <t>CC1 Last Name</t>
  </si>
  <si>
    <t>CC1 Title</t>
  </si>
  <si>
    <t>CC1 org name</t>
  </si>
  <si>
    <t>CC1 Phone</t>
  </si>
  <si>
    <t>CC1 Extension</t>
  </si>
  <si>
    <t>CC1 Fax</t>
  </si>
  <si>
    <t>CC1 e-mail</t>
  </si>
  <si>
    <t>CC1 Address</t>
  </si>
  <si>
    <t>CC1 Multiple unit</t>
  </si>
  <si>
    <t>CC1 City</t>
  </si>
  <si>
    <t>CC1 County</t>
  </si>
  <si>
    <t>CC1 State</t>
  </si>
  <si>
    <t>CC1 Zip</t>
  </si>
  <si>
    <t>CC1 Zip4</t>
  </si>
  <si>
    <t>FP First Name</t>
  </si>
  <si>
    <t>FP Last Name</t>
  </si>
  <si>
    <t>FP Title</t>
  </si>
  <si>
    <t>Minnesota
Statutes
Chapter
256B.0625</t>
  </si>
  <si>
    <t>health.hccis@state.mn.us</t>
  </si>
  <si>
    <t>Definition: Diagnostic Imaging Facility</t>
  </si>
  <si>
    <t>Whenever reasonably possible, a diagnostic imaging facility must report actual numbers in all categories.  If it is not reasonably possible to report actual information, the diagnostic imaging facility may estimate using reasonable methods.  When an entry is an estimate, please identify it as an estimate.  Note that, upon request, the diagnostic imaging facility must provide a written explanation of the method used for the estimate.</t>
  </si>
  <si>
    <t>Number of Months this Equipment was Leased</t>
  </si>
  <si>
    <t>Demographic Tab</t>
  </si>
  <si>
    <t>Mobile Locations Tab</t>
  </si>
  <si>
    <t>Leased Equipment Tab</t>
  </si>
  <si>
    <t>Economic Interest Tab</t>
  </si>
  <si>
    <t>Economic
Interest Tab</t>
  </si>
  <si>
    <t>Fixed Equipment Tab</t>
  </si>
  <si>
    <t>Portable Equipment Tab</t>
  </si>
  <si>
    <t>Mobile Equipment Tab</t>
  </si>
  <si>
    <t>Capital
Expenditure
Reporting Tab</t>
  </si>
  <si>
    <t>Capital Expenditure 
Project Specific Tab</t>
  </si>
  <si>
    <t>SPECT/CT Combination Procedures</t>
  </si>
  <si>
    <t>CT Procedures</t>
  </si>
  <si>
    <t>PET/CT Combination Procedures</t>
  </si>
  <si>
    <t>CER Sys ID</t>
  </si>
  <si>
    <t>This certification must be signed by an officer of the Diagnostic Imaging center such as the Administrator, CEO, or CFO.  The signed copy of this page must be either faxed or mailed, or emailed (pdf) to MDH.</t>
  </si>
  <si>
    <t>FORMSET_TYPE_ID</t>
  </si>
  <si>
    <t>CER ID</t>
  </si>
  <si>
    <t>HealthPartners</t>
  </si>
  <si>
    <t>Contact Information</t>
  </si>
  <si>
    <t>Preparer</t>
  </si>
  <si>
    <t>Organization Name</t>
  </si>
  <si>
    <t>Courtesy Contact 1</t>
  </si>
  <si>
    <t>Courtesy Contact Name</t>
  </si>
  <si>
    <t xml:space="preserve">City </t>
  </si>
  <si>
    <t>Courtesy Contact 2</t>
  </si>
  <si>
    <t>Administrator's e-mail</t>
  </si>
  <si>
    <t>SPECT Procedures</t>
  </si>
  <si>
    <t>Yes</t>
  </si>
  <si>
    <t>No</t>
  </si>
  <si>
    <t>Direct Phone</t>
  </si>
  <si>
    <t>Company Name</t>
  </si>
  <si>
    <t>MRI</t>
  </si>
  <si>
    <t>PET</t>
  </si>
  <si>
    <t>PET/CT Combination</t>
  </si>
  <si>
    <t>CT</t>
  </si>
  <si>
    <t>SPECT/CT Combination</t>
  </si>
  <si>
    <t>SPECT</t>
  </si>
  <si>
    <t>Total Major Capital Expenditure Commitments (for projects listed in code 7595 above)</t>
  </si>
  <si>
    <t>Formset Preparer</t>
  </si>
  <si>
    <t>physical location of facility</t>
  </si>
  <si>
    <t>mailing address</t>
  </si>
  <si>
    <t>Zip5</t>
  </si>
  <si>
    <t>Retrospective Review Reporting Exceptions</t>
  </si>
  <si>
    <t>CC2 First Name</t>
  </si>
  <si>
    <t>CC2 Last Name</t>
  </si>
  <si>
    <t>CC2 Title</t>
  </si>
  <si>
    <t>CC2 org name</t>
  </si>
  <si>
    <t>CC2 Phone</t>
  </si>
  <si>
    <t>CC2 Extension</t>
  </si>
  <si>
    <t>CC2 Fax</t>
  </si>
  <si>
    <t>CC2 e-mail</t>
  </si>
  <si>
    <t>CC2 Address</t>
  </si>
  <si>
    <t>CC2 Multiple unit</t>
  </si>
  <si>
    <t>CC2 City</t>
  </si>
  <si>
    <t>CC2 County</t>
  </si>
  <si>
    <t>CC2 State</t>
  </si>
  <si>
    <t>System Affiliation 3</t>
  </si>
  <si>
    <t>Affiliation Type 3</t>
  </si>
  <si>
    <t>FYE</t>
  </si>
  <si>
    <t># Months</t>
  </si>
  <si>
    <t>vlookup</t>
  </si>
  <si>
    <t>entered</t>
  </si>
  <si>
    <t>Mailing Add Contact</t>
  </si>
  <si>
    <t>MA Contact ID</t>
  </si>
  <si>
    <t>FP Contact ID</t>
  </si>
  <si>
    <t>CC1 Contact ID</t>
  </si>
  <si>
    <t>CC2 Contact ID</t>
  </si>
  <si>
    <t>CXC Contact ID</t>
  </si>
  <si>
    <t>MA-Multiple_Unit</t>
  </si>
  <si>
    <t>MA-City</t>
  </si>
  <si>
    <t>MA-County</t>
  </si>
  <si>
    <t>MA-State</t>
  </si>
  <si>
    <t>Admin_Title</t>
  </si>
  <si>
    <t>Admin_e-mail</t>
  </si>
  <si>
    <t>CFO_Name</t>
  </si>
  <si>
    <t>FP-Last_Name</t>
  </si>
  <si>
    <t>FP-Title</t>
  </si>
  <si>
    <t>FP-Org_Name</t>
  </si>
  <si>
    <t>FP-Phone</t>
  </si>
  <si>
    <t>FP-Fax</t>
  </si>
  <si>
    <t>FP-e-mail</t>
  </si>
  <si>
    <t>FP-City</t>
  </si>
  <si>
    <t>FP-County</t>
  </si>
  <si>
    <t>FP-State</t>
  </si>
  <si>
    <t>FP-Zip4</t>
  </si>
  <si>
    <t>CC1-Last_Name</t>
  </si>
  <si>
    <t>CC1-Title</t>
  </si>
  <si>
    <t>CC1-Org_Name</t>
  </si>
  <si>
    <t>CC1-Fax</t>
  </si>
  <si>
    <t>CC1-e-mail</t>
  </si>
  <si>
    <t>CC1-City</t>
  </si>
  <si>
    <t>CC1-County</t>
  </si>
  <si>
    <t>CC1-State</t>
  </si>
  <si>
    <t>CC2-Last_Name</t>
  </si>
  <si>
    <t>CC2-Title</t>
  </si>
  <si>
    <t>CC2-Org_Name</t>
  </si>
  <si>
    <t>CC2-Phone</t>
  </si>
  <si>
    <t>CC2-Fax</t>
  </si>
  <si>
    <t>CC2-e-mail</t>
  </si>
  <si>
    <t>CC2-City</t>
  </si>
  <si>
    <t>CC2-County</t>
  </si>
  <si>
    <t>CC2-State</t>
  </si>
  <si>
    <t>CXC-Last_Name</t>
  </si>
  <si>
    <t>CXC-Title</t>
  </si>
  <si>
    <t>CXC-Org_Name</t>
  </si>
  <si>
    <t>CXC-Phone</t>
  </si>
  <si>
    <t>CXC-Fax</t>
  </si>
  <si>
    <t>CXC-e-mail</t>
  </si>
  <si>
    <t>CXC-City</t>
  </si>
  <si>
    <t>CXC-County</t>
  </si>
  <si>
    <t>CXC-State</t>
  </si>
  <si>
    <t>Web Site</t>
  </si>
  <si>
    <t>System_Affiliation_1</t>
  </si>
  <si>
    <t>Affiliation_Type_1</t>
  </si>
  <si>
    <t>System_Affiliation_2</t>
  </si>
  <si>
    <t>Affiliation_Type_2</t>
  </si>
  <si>
    <t>System_Affiliation_3</t>
  </si>
  <si>
    <t>Affiliation_Type_3</t>
  </si>
  <si>
    <t>Capital Exp Contact</t>
  </si>
  <si>
    <t>Facility Information</t>
  </si>
  <si>
    <t>CC1-Phone</t>
  </si>
  <si>
    <t>CXC-First_Name &amp;
CXC-Last_Name</t>
  </si>
  <si>
    <t>Address &amp;
 Mult Unit</t>
  </si>
  <si>
    <t>FP-Ext</t>
  </si>
  <si>
    <t>CC1-Ext</t>
  </si>
  <si>
    <t>CXC-Ext</t>
  </si>
  <si>
    <t>CC2-Ext</t>
  </si>
  <si>
    <t>script for loading data</t>
  </si>
  <si>
    <t>CXC-Address &amp;
CXC-Mult Unit</t>
  </si>
  <si>
    <t>CC1-Address &amp;
CC1-Mult Unit</t>
  </si>
  <si>
    <t>CC2-Address &amp;
 CC-2-Mult Unit</t>
  </si>
  <si>
    <t>FP-Address &amp;
 FP-Mult Unit</t>
  </si>
  <si>
    <t>MA-Address &amp;
MA-Mult Unit</t>
  </si>
  <si>
    <t>Admin_First_ Name &amp;
Admin_Last_Name</t>
  </si>
  <si>
    <t>FP-First_Name &amp;
FP-Last_Name</t>
  </si>
  <si>
    <t>Preparer  (required)</t>
  </si>
  <si>
    <t>Courtesy Contact 1 (optional)</t>
  </si>
  <si>
    <t>Courtesy Contact 2 (optional)</t>
  </si>
  <si>
    <t>Accrediting Organization</t>
  </si>
  <si>
    <t>American College of Radiology (ACR)</t>
  </si>
  <si>
    <t>CTAP</t>
  </si>
  <si>
    <t>Intersocietal Accreditation Commission (IAC)</t>
  </si>
  <si>
    <t>MRAP</t>
  </si>
  <si>
    <t>PETAP</t>
  </si>
  <si>
    <t>NMAP</t>
  </si>
  <si>
    <t>CTA</t>
  </si>
  <si>
    <t>MRA</t>
  </si>
  <si>
    <t>Diag. Imaging</t>
  </si>
  <si>
    <t>The Joint Commission (TJC)</t>
  </si>
  <si>
    <t>Imaging
Radiology</t>
  </si>
  <si>
    <t>Section Number</t>
  </si>
  <si>
    <t>Explanation</t>
  </si>
  <si>
    <t>Section 1</t>
  </si>
  <si>
    <t>Section 2</t>
  </si>
  <si>
    <t>Section 3</t>
  </si>
  <si>
    <t>Section 4</t>
  </si>
  <si>
    <t>Section 5</t>
  </si>
  <si>
    <t>Section 6</t>
  </si>
  <si>
    <t>Section 7</t>
  </si>
  <si>
    <t>Section 8</t>
  </si>
  <si>
    <t>Section 9</t>
  </si>
  <si>
    <t>Section 10</t>
  </si>
  <si>
    <t>Section 11</t>
  </si>
  <si>
    <t>Section 12</t>
  </si>
  <si>
    <t>Section 13</t>
  </si>
  <si>
    <t>Section 14</t>
  </si>
  <si>
    <t>Section 15</t>
  </si>
  <si>
    <t>Cert Expiration</t>
  </si>
  <si>
    <t>Accreditation</t>
  </si>
  <si>
    <t>Information Regarding Reporting</t>
  </si>
  <si>
    <t>Diagnostic Imaging Accreditation Certification</t>
  </si>
  <si>
    <t>Document Explanations if needed</t>
  </si>
  <si>
    <t>Document Explanations</t>
  </si>
  <si>
    <t>CT
scanner</t>
  </si>
  <si>
    <t>Nuc
Cardiology</t>
  </si>
  <si>
    <t>ACR MRAP
Exp Date</t>
  </si>
  <si>
    <t>ACR PETAP Exp Date</t>
  </si>
  <si>
    <t>ACR CTAP
Exp Date</t>
  </si>
  <si>
    <t>ACR NMAP
Exp Date</t>
  </si>
  <si>
    <t>TJC
MRA
Exp Date</t>
  </si>
  <si>
    <t>TJC
MRI
Exp Date</t>
  </si>
  <si>
    <t>TJC
PET
Exp Date</t>
  </si>
  <si>
    <t>TJC
CT
Exp Date</t>
  </si>
  <si>
    <t>TJC
CTA
Exp Date</t>
  </si>
  <si>
    <t>TJC
CT scan
Exp Date</t>
  </si>
  <si>
    <t>TJC
NucCard
Exp Date</t>
  </si>
  <si>
    <t>TJC
Diag Img
Exp Date</t>
  </si>
  <si>
    <t>TJC
Img Rad
Exp Date</t>
  </si>
  <si>
    <t xml:space="preserve">ACR MRAP
</t>
  </si>
  <si>
    <t xml:space="preserve">ACR PETAP
</t>
  </si>
  <si>
    <t xml:space="preserve">ACR CTAP
</t>
  </si>
  <si>
    <t xml:space="preserve">ACR NMAP
</t>
  </si>
  <si>
    <t xml:space="preserve">TJC
MRA
</t>
  </si>
  <si>
    <t xml:space="preserve">TJC
MRI
</t>
  </si>
  <si>
    <t xml:space="preserve">TJC
PET
</t>
  </si>
  <si>
    <t xml:space="preserve">TJC
CT
</t>
  </si>
  <si>
    <t xml:space="preserve">TJC
CTA
</t>
  </si>
  <si>
    <t xml:space="preserve">TJC
CT scan
</t>
  </si>
  <si>
    <t xml:space="preserve">TJC
NucCard
</t>
  </si>
  <si>
    <t xml:space="preserve">TJC
Diag Img
</t>
  </si>
  <si>
    <t xml:space="preserve">TJC
Img Rad
</t>
  </si>
  <si>
    <t>Please indicate your facility's accrediting organization and relevant modalities below along with the certification expiration date of each modality.</t>
  </si>
  <si>
    <t>Accreditation Certification</t>
  </si>
  <si>
    <t>MRAP Exp Date</t>
  </si>
  <si>
    <t>PETAP Exp Date</t>
  </si>
  <si>
    <t>ACR</t>
  </si>
  <si>
    <t>CTAP Exp Date</t>
  </si>
  <si>
    <t>NMAP Exp Date</t>
  </si>
  <si>
    <t>IAC</t>
  </si>
  <si>
    <t>ICAMRL</t>
  </si>
  <si>
    <t>ICACTL</t>
  </si>
  <si>
    <t>ICANL</t>
  </si>
  <si>
    <t xml:space="preserve">IAC
ICA-MRL
</t>
  </si>
  <si>
    <t>IAC
ICA-MRL
Exp Date</t>
  </si>
  <si>
    <t xml:space="preserve">IAC
ICA-CTL
</t>
  </si>
  <si>
    <t>IAC
ICA-CTL
Exp Date</t>
  </si>
  <si>
    <t xml:space="preserve">IAC
ICA-NL
</t>
  </si>
  <si>
    <t>IAC
ICA-NL
Exp Date</t>
  </si>
  <si>
    <t>ICA-MRL</t>
  </si>
  <si>
    <t>ICA-MRL Exp Date</t>
  </si>
  <si>
    <t>ICA-CTL</t>
  </si>
  <si>
    <t>ICA-CTL Exp Date</t>
  </si>
  <si>
    <t>ICA-NL</t>
  </si>
  <si>
    <t>ICA-NL Exp Date</t>
  </si>
  <si>
    <t>TJC</t>
  </si>
  <si>
    <t>MRA Exp Date</t>
  </si>
  <si>
    <t>MRI Exp Date</t>
  </si>
  <si>
    <t>PET Exp Date</t>
  </si>
  <si>
    <t>CT Exp Date</t>
  </si>
  <si>
    <t>CTA Exp Date</t>
  </si>
  <si>
    <t>CT scanner</t>
  </si>
  <si>
    <t>CT scanner Exp Date</t>
  </si>
  <si>
    <t>Nuc Cardiology Exp Date</t>
  </si>
  <si>
    <t>Diag Imaging</t>
  </si>
  <si>
    <t>Diag Imaging Exp Date</t>
  </si>
  <si>
    <t>Imaging/Radiology</t>
  </si>
  <si>
    <t>Imaging/Radiology Exp Date</t>
  </si>
  <si>
    <t>accred org</t>
  </si>
  <si>
    <t>modality</t>
  </si>
  <si>
    <t>Check Type of Modalities
and enter Expiration of Certification</t>
  </si>
  <si>
    <t>HIDE</t>
  </si>
  <si>
    <t>Mobile Location Totals Check</t>
  </si>
  <si>
    <t>PET/CT</t>
  </si>
  <si>
    <t>SPECT/CT</t>
  </si>
  <si>
    <t>Code</t>
  </si>
  <si>
    <t>Type</t>
  </si>
  <si>
    <t>#billed</t>
  </si>
  <si>
    <t>Total of all scans reported on Mobile Location Tab</t>
  </si>
  <si>
    <t>#locations</t>
  </si>
  <si>
    <t>#scans</t>
  </si>
  <si>
    <t>mri</t>
  </si>
  <si>
    <t>pet</t>
  </si>
  <si>
    <t>pet/ct</t>
  </si>
  <si>
    <t>ct</t>
  </si>
  <si>
    <t>spect/ct</t>
  </si>
  <si>
    <t>spect</t>
  </si>
  <si>
    <t>Submission of accreditation certification is required.</t>
  </si>
  <si>
    <t>LOCATION</t>
  </si>
  <si>
    <t>ICACTL
Dental</t>
  </si>
  <si>
    <t>ICA-CTL Dental</t>
  </si>
  <si>
    <t>ICA-CTL Dental Exp Date</t>
  </si>
  <si>
    <t>ProjType</t>
  </si>
  <si>
    <t>Subtype1</t>
  </si>
  <si>
    <t>Subtype3</t>
  </si>
  <si>
    <t>Diagnostic Imaging Center</t>
  </si>
  <si>
    <t>Anesthesia</t>
  </si>
  <si>
    <t>Inpatient Hospital</t>
  </si>
  <si>
    <t>Angiography or Arteriography</t>
  </si>
  <si>
    <t>Building and Space &amp; Medical Equipment</t>
  </si>
  <si>
    <t>Outpatient Hospital or Hospital-Based Clinic(s)</t>
  </si>
  <si>
    <t>Clinical Practice Space</t>
  </si>
  <si>
    <t>Health Information Technology</t>
  </si>
  <si>
    <t>Inpatient &amp; Outpatient Hosptial</t>
  </si>
  <si>
    <t>Computed Tomography (CT) - Additional</t>
  </si>
  <si>
    <t>Non-Patient Care</t>
  </si>
  <si>
    <t>Outpatient Surgery Center</t>
  </si>
  <si>
    <t>Computed Tomography (CT) - Replacement</t>
  </si>
  <si>
    <t>Remote Access</t>
  </si>
  <si>
    <t>Physician Clinic(s)</t>
  </si>
  <si>
    <t>Computer, Phone, or Monitoring</t>
  </si>
  <si>
    <t>Yes, services are available within 30 miles</t>
  </si>
  <si>
    <t>Dialysis</t>
  </si>
  <si>
    <t>No, services are not available within 30 miles</t>
  </si>
  <si>
    <t>Infusion</t>
  </si>
  <si>
    <t>Capacity</t>
  </si>
  <si>
    <t>Subtype2</t>
  </si>
  <si>
    <t>Inpatient Bed Expansion (double occupancy)</t>
  </si>
  <si>
    <t>Yes, Capacity will be Increased</t>
  </si>
  <si>
    <t>Ambulatory Care</t>
  </si>
  <si>
    <t>Inpatient Bed Expansion (single occupancy)</t>
  </si>
  <si>
    <t>No Increase in Capacity</t>
  </si>
  <si>
    <t>Cardiac Care</t>
  </si>
  <si>
    <t>Magnetic Resonance Imaging (MRI) - Additional</t>
  </si>
  <si>
    <t>Chemical Dependency/Detoxification</t>
  </si>
  <si>
    <t>Magnetic Resonance Imaging (MRI) - Replacement</t>
  </si>
  <si>
    <t>Prior Capacity (PriorCap)</t>
  </si>
  <si>
    <t>Critical Care (ICU or NICU)</t>
  </si>
  <si>
    <t>Operating Room</t>
  </si>
  <si>
    <t>0-20% occupied or used</t>
  </si>
  <si>
    <t>Emergency Services</t>
  </si>
  <si>
    <t>Other Health Information Technology</t>
  </si>
  <si>
    <t>20-50% occupied or used</t>
  </si>
  <si>
    <t>Geriatrics</t>
  </si>
  <si>
    <t>50-80% occupied or used</t>
  </si>
  <si>
    <t>Indirect Patient Care</t>
  </si>
  <si>
    <t>Other Surgical Equipment</t>
  </si>
  <si>
    <t>Over 80% occupied or used</t>
  </si>
  <si>
    <t>Laboratory</t>
  </si>
  <si>
    <t>PET/CT - New</t>
  </si>
  <si>
    <t>Mental Health</t>
  </si>
  <si>
    <t>PET/CT - Replacement</t>
  </si>
  <si>
    <t>Multiple Specialty Areas</t>
  </si>
  <si>
    <t>Positron Emission Tomography (PET) - Additional</t>
  </si>
  <si>
    <t>Neurology</t>
  </si>
  <si>
    <t>Positron Emission Tomography (PET) - Replacement</t>
  </si>
  <si>
    <t>Impact</t>
  </si>
  <si>
    <t>Nursery</t>
  </si>
  <si>
    <t>Radiation Therapy</t>
  </si>
  <si>
    <t>Yes, project will improve patient quality and/or clinical effectiveness</t>
  </si>
  <si>
    <t>Obstetrics</t>
  </si>
  <si>
    <t>Robotic Surgery</t>
  </si>
  <si>
    <t>No, project will not improve patient quality and/or clinical effectiveness</t>
  </si>
  <si>
    <t>Oncology</t>
  </si>
  <si>
    <t>Single-Photon Emission CT (SPECT) - Additional</t>
  </si>
  <si>
    <t>Orthopedics</t>
  </si>
  <si>
    <t>Single-Photon Emission CT (SPECT) - Replacement</t>
  </si>
  <si>
    <t>Evidence</t>
  </si>
  <si>
    <t>Other Medical/Surgical Care</t>
  </si>
  <si>
    <t>SPECT/CT - Additional</t>
  </si>
  <si>
    <t>Yes, quality and/or effectiveness is supported by evidence</t>
  </si>
  <si>
    <t>Other Patient Care</t>
  </si>
  <si>
    <t>SPECT/CT - Replacement</t>
  </si>
  <si>
    <t>No, quality and/or effectiveness is not supported by evidence</t>
  </si>
  <si>
    <t>Other Specialty Care</t>
  </si>
  <si>
    <t>Other Women's &amp; Children's Patient Care</t>
  </si>
  <si>
    <t>Pediatrics</t>
  </si>
  <si>
    <t>Peri-Operative Care</t>
  </si>
  <si>
    <t>Pharmacy</t>
  </si>
  <si>
    <t>Primary Care/Family Medicine</t>
  </si>
  <si>
    <t>Radiology</t>
  </si>
  <si>
    <t>Rehabilitation</t>
  </si>
  <si>
    <t>Surgery</t>
  </si>
  <si>
    <t>Urgent Care</t>
  </si>
  <si>
    <t>COLUMNS S and to the right of S are HIDDEN FROM PROVIDER</t>
  </si>
  <si>
    <t>LOC_NAME</t>
  </si>
  <si>
    <t>DESC_ACCESS</t>
  </si>
  <si>
    <t>DESC_EVIDENCE</t>
  </si>
  <si>
    <t>DESC_ALTERNATIVES</t>
  </si>
  <si>
    <t>EXCL_MEDED</t>
  </si>
  <si>
    <t>EXCL_BLGDMNT</t>
  </si>
  <si>
    <t>EXCL_NONPT</t>
  </si>
  <si>
    <t>EXCL_OWNCHG</t>
  </si>
  <si>
    <t>hccis.cer_project_type_tbl  data load</t>
  </si>
  <si>
    <t>Capital Expenditure Detail by Project</t>
  </si>
  <si>
    <t>Cap_Exp_RR_TBL Data Load</t>
  </si>
  <si>
    <t>SYSTEM_ID</t>
  </si>
  <si>
    <t>PROJECT_ID</t>
  </si>
  <si>
    <t>PROJECT_TYPE_ID</t>
  </si>
  <si>
    <t>CAP_EXP_RR_TBL</t>
  </si>
  <si>
    <t>Project Number 1</t>
  </si>
  <si>
    <t>CER_PROJECT_TYPE_TBL</t>
  </si>
  <si>
    <t>for DI, FOSC, and Systems</t>
  </si>
  <si>
    <t>CAP_EXP_RR_TYPE_TBL</t>
  </si>
  <si>
    <t>for HAR</t>
  </si>
  <si>
    <t>CER</t>
  </si>
  <si>
    <t>Proj. ID</t>
  </si>
  <si>
    <t>For MDH Staff</t>
  </si>
  <si>
    <t xml:space="preserve"> Project Address</t>
  </si>
  <si>
    <t>Project City</t>
  </si>
  <si>
    <t>Actual Commitment Date</t>
  </si>
  <si>
    <t>Definition of Spending Commitment Date</t>
  </si>
  <si>
    <t>Project Cost</t>
  </si>
  <si>
    <t>Distance to the location of the nearest equivalent service or technology</t>
  </si>
  <si>
    <t>Miles</t>
  </si>
  <si>
    <t>Project Number 2</t>
  </si>
  <si>
    <t>Title and General Description of the Project</t>
  </si>
  <si>
    <t>Exceptions Definitions</t>
  </si>
  <si>
    <t>Medical Education</t>
  </si>
  <si>
    <t>What is the General Purpose of the Project?</t>
  </si>
  <si>
    <t>Building Maintenance</t>
  </si>
  <si>
    <t>Non-Patient Care Services</t>
  </si>
  <si>
    <t>Change in Ownership Resulting in
Non-Expansion in Service Capacity</t>
  </si>
  <si>
    <t>Please select elements of your project from as many drop down menus as apply.</t>
  </si>
  <si>
    <t>Project Type</t>
  </si>
  <si>
    <t>Project Subtype 1</t>
  </si>
  <si>
    <t>Project Subtype 2</t>
  </si>
  <si>
    <t>Project Subtype 3</t>
  </si>
  <si>
    <t>Project_Type_Table Elements</t>
  </si>
  <si>
    <t>Project Number 3</t>
  </si>
  <si>
    <t>Please provide details regarding improved access to care.</t>
  </si>
  <si>
    <t>ACCESS</t>
  </si>
  <si>
    <t>Are equivalent services available within 30 miles for your patient population?</t>
  </si>
  <si>
    <t>REMOTE_ACCESS</t>
  </si>
  <si>
    <t>Does the project involve new or increased capacity?</t>
  </si>
  <si>
    <t>CAPACITY</t>
  </si>
  <si>
    <t>What was the capacity level prior to expansion or added equipment?</t>
  </si>
  <si>
    <t>PRIOR_CAPACITY</t>
  </si>
  <si>
    <t>Project 11</t>
  </si>
  <si>
    <t>Please provide any additional information regarding how this project improves access to care.</t>
  </si>
  <si>
    <t>Project 12</t>
  </si>
  <si>
    <t>Please list the closest providers (name and town/city) of equivalent services or technology currently available within 10 miles.</t>
  </si>
  <si>
    <t>Project Number 4</t>
  </si>
  <si>
    <t>Please provide details regarding improved patient quality and/or clinical effectiveness of care.</t>
  </si>
  <si>
    <t>IMPACT</t>
  </si>
  <si>
    <t>Does the project result in improved patient quality and/or more effective clinical care than prior to the expenditure?</t>
  </si>
  <si>
    <t>MORE_EFFECTIVE</t>
  </si>
  <si>
    <t>Are any improvements in quality or clinical effectiveness supported by evidence?</t>
  </si>
  <si>
    <t>EFFECTIVE_EVIDENCE</t>
  </si>
  <si>
    <t>Please provide any additional information describing how the project improves patient quality or clinical effectiveness of care.</t>
  </si>
  <si>
    <t>Please list the source(s) of evidence for improved quality and/or clinical effectiveness.</t>
  </si>
  <si>
    <t>Project Number 5</t>
  </si>
  <si>
    <t>Please provide a description of alternatives considered and why more or less cost effective options were discarded.</t>
  </si>
  <si>
    <t>ALTERNATIVES</t>
  </si>
  <si>
    <t>Please describe any lawful collaborative arrangements, including the type of collaboration, the partnership name, the names of the partners, a description of their involvement and any other information that will facilitate a complete review of this project.</t>
  </si>
  <si>
    <t>Project Number 6</t>
  </si>
  <si>
    <t>Project Number 7</t>
  </si>
  <si>
    <t>Project Number 8</t>
  </si>
  <si>
    <t>Project Number 9</t>
  </si>
  <si>
    <t>Project Number 10</t>
  </si>
  <si>
    <t>Project Number 11</t>
  </si>
  <si>
    <t>Project Number 12</t>
  </si>
  <si>
    <r>
      <t xml:space="preserve">You are required to complete </t>
    </r>
    <r>
      <rPr>
        <b/>
        <i/>
        <sz val="10"/>
        <rFont val="Calibri"/>
        <family val="2"/>
      </rPr>
      <t>all</t>
    </r>
    <r>
      <rPr>
        <sz val="10"/>
        <rFont val="Calibri"/>
        <family val="2"/>
      </rPr>
      <t xml:space="preserve"> applicable sections of the report.</t>
    </r>
  </si>
  <si>
    <r>
      <t>(Reporting Entity)</t>
    </r>
    <r>
      <rPr>
        <u/>
        <sz val="10"/>
        <color indexed="12"/>
        <rFont val="Calibri"/>
        <family val="2"/>
      </rPr>
      <t xml:space="preserve"> </t>
    </r>
    <r>
      <rPr>
        <b/>
        <u/>
        <sz val="10"/>
        <color indexed="12"/>
        <rFont val="Calibri"/>
        <family val="2"/>
      </rPr>
      <t>HCCIS ID</t>
    </r>
  </si>
  <si>
    <r>
      <t xml:space="preserve">Certification Statement: </t>
    </r>
    <r>
      <rPr>
        <sz val="10"/>
        <rFont val="Calibri"/>
        <family val="2"/>
      </rPr>
      <t>I hereby certify that I have examined the accompanying Annual Report and to the best of my knowledge, the information contained in this report is accurate.</t>
    </r>
  </si>
  <si>
    <r>
      <t xml:space="preserve">Please enter the number of procedures </t>
    </r>
    <r>
      <rPr>
        <b/>
        <i/>
        <sz val="10"/>
        <color indexed="16"/>
        <rFont val="Calibri"/>
        <family val="2"/>
      </rPr>
      <t>provided and billed</t>
    </r>
    <r>
      <rPr>
        <sz val="10"/>
        <color indexed="16"/>
        <rFont val="Calibri"/>
        <family val="2"/>
      </rPr>
      <t xml:space="preserve"> by this facility regardless if the equipment is owned or leased.</t>
    </r>
  </si>
  <si>
    <r>
      <t xml:space="preserve">Enter </t>
    </r>
    <r>
      <rPr>
        <b/>
        <sz val="10"/>
        <color indexed="10"/>
        <rFont val="Calibri"/>
        <family val="2"/>
      </rPr>
      <t>TOTAL</t>
    </r>
    <r>
      <rPr>
        <sz val="10"/>
        <color indexed="10"/>
        <rFont val="Calibri"/>
        <family val="2"/>
      </rPr>
      <t xml:space="preserve"> MA and MinnesotaCare Managed Care Procedures if breakout detail for lines 16 and 18 are not available (cells in row 15 are NOT locked).</t>
    </r>
  </si>
  <si>
    <r>
      <t xml:space="preserve">Number of </t>
    </r>
    <r>
      <rPr>
        <b/>
        <sz val="10"/>
        <rFont val="Calibri"/>
        <family val="2"/>
      </rPr>
      <t>Fixed</t>
    </r>
    <r>
      <rPr>
        <sz val="10"/>
        <rFont val="Calibri"/>
        <family val="2"/>
      </rPr>
      <t xml:space="preserve"> Scanners</t>
    </r>
  </si>
  <si>
    <r>
      <t xml:space="preserve">Please identify if the reporting entity </t>
    </r>
    <r>
      <rPr>
        <b/>
        <i/>
        <sz val="10"/>
        <color indexed="16"/>
        <rFont val="Calibri"/>
        <family val="2"/>
      </rPr>
      <t>owns or leases</t>
    </r>
    <r>
      <rPr>
        <sz val="10"/>
        <color indexed="16"/>
        <rFont val="Calibri"/>
        <family val="2"/>
      </rPr>
      <t xml:space="preserve"> the equipment for the utilization provided above.</t>
    </r>
  </si>
  <si>
    <r>
      <t xml:space="preserve">Do you </t>
    </r>
    <r>
      <rPr>
        <b/>
        <i/>
        <sz val="10"/>
        <rFont val="Calibri"/>
        <family val="2"/>
      </rPr>
      <t>own</t>
    </r>
    <r>
      <rPr>
        <sz val="10"/>
        <rFont val="Calibri"/>
        <family val="2"/>
      </rPr>
      <t xml:space="preserve"> this equipment?</t>
    </r>
  </si>
  <si>
    <r>
      <t xml:space="preserve">If you </t>
    </r>
    <r>
      <rPr>
        <b/>
        <i/>
        <sz val="10"/>
        <rFont val="Calibri"/>
        <family val="2"/>
      </rPr>
      <t>own</t>
    </r>
    <r>
      <rPr>
        <sz val="10"/>
        <rFont val="Calibri"/>
        <family val="2"/>
      </rPr>
      <t xml:space="preserve"> this equipment, do you </t>
    </r>
    <r>
      <rPr>
        <b/>
        <i/>
        <sz val="10"/>
        <rFont val="Calibri"/>
        <family val="2"/>
      </rPr>
      <t>lease</t>
    </r>
    <r>
      <rPr>
        <sz val="10"/>
        <rFont val="Calibri"/>
        <family val="2"/>
      </rPr>
      <t xml:space="preserve"> this equipment out to </t>
    </r>
    <r>
      <rPr>
        <b/>
        <i/>
        <sz val="10"/>
        <rFont val="Calibri"/>
        <family val="2"/>
      </rPr>
      <t>others</t>
    </r>
    <r>
      <rPr>
        <sz val="10"/>
        <rFont val="Calibri"/>
        <family val="2"/>
      </rPr>
      <t>?</t>
    </r>
  </si>
  <si>
    <r>
      <t xml:space="preserve">Enter </t>
    </r>
    <r>
      <rPr>
        <b/>
        <sz val="10"/>
        <color indexed="10"/>
        <rFont val="Calibri"/>
        <family val="2"/>
      </rPr>
      <t>TOTAL</t>
    </r>
    <r>
      <rPr>
        <sz val="10"/>
        <color indexed="10"/>
        <rFont val="Calibri"/>
        <family val="2"/>
      </rPr>
      <t xml:space="preserve"> MA and MinnesotaCare Managed Care Procedures if breakout detail for lines 16 &amp; 18 are not available (cells in row 15 are NOT locked).</t>
    </r>
  </si>
  <si>
    <r>
      <t xml:space="preserve">Number of </t>
    </r>
    <r>
      <rPr>
        <b/>
        <sz val="10"/>
        <rFont val="Calibri"/>
        <family val="2"/>
      </rPr>
      <t>Portable</t>
    </r>
    <r>
      <rPr>
        <sz val="10"/>
        <rFont val="Calibri"/>
        <family val="2"/>
      </rPr>
      <t xml:space="preserve"> Scanners</t>
    </r>
  </si>
  <si>
    <r>
      <t>Please enter the number of mobile scanners at</t>
    </r>
    <r>
      <rPr>
        <b/>
        <i/>
        <sz val="10"/>
        <color indexed="16"/>
        <rFont val="Calibri"/>
        <family val="2"/>
      </rPr>
      <t xml:space="preserve"> this location</t>
    </r>
    <r>
      <rPr>
        <sz val="10"/>
        <color indexed="16"/>
        <rFont val="Calibri"/>
        <family val="2"/>
      </rPr>
      <t>.</t>
    </r>
  </si>
  <si>
    <r>
      <t xml:space="preserve">Number of </t>
    </r>
    <r>
      <rPr>
        <b/>
        <sz val="10"/>
        <rFont val="Calibri"/>
        <family val="2"/>
      </rPr>
      <t>Mobile</t>
    </r>
    <r>
      <rPr>
        <sz val="10"/>
        <rFont val="Calibri"/>
        <family val="2"/>
      </rPr>
      <t xml:space="preserve"> Scanners</t>
    </r>
  </si>
  <si>
    <r>
      <t xml:space="preserve">Please list </t>
    </r>
    <r>
      <rPr>
        <b/>
        <i/>
        <sz val="10"/>
        <color indexed="16"/>
        <rFont val="Calibri"/>
        <family val="2"/>
      </rPr>
      <t>all</t>
    </r>
    <r>
      <rPr>
        <sz val="10"/>
        <color indexed="16"/>
        <rFont val="Calibri"/>
        <family val="2"/>
      </rPr>
      <t xml:space="preserve"> the entities to which the diagnostic imaging equipment is </t>
    </r>
    <r>
      <rPr>
        <b/>
        <i/>
        <sz val="10"/>
        <color indexed="16"/>
        <rFont val="Calibri"/>
        <family val="2"/>
      </rPr>
      <t xml:space="preserve">leased to </t>
    </r>
    <r>
      <rPr>
        <sz val="10"/>
        <color indexed="16"/>
        <rFont val="Calibri"/>
        <family val="2"/>
      </rPr>
      <t>or</t>
    </r>
    <r>
      <rPr>
        <b/>
        <i/>
        <sz val="10"/>
        <color indexed="16"/>
        <rFont val="Calibri"/>
        <family val="2"/>
      </rPr>
      <t xml:space="preserve"> leased from</t>
    </r>
    <r>
      <rPr>
        <sz val="10"/>
        <color indexed="16"/>
        <rFont val="Calibri"/>
        <family val="2"/>
      </rPr>
      <t>.</t>
    </r>
  </si>
  <si>
    <r>
      <t xml:space="preserve">Equipment Leased </t>
    </r>
    <r>
      <rPr>
        <b/>
        <i/>
        <sz val="10"/>
        <color indexed="16"/>
        <rFont val="Calibri"/>
        <family val="2"/>
      </rPr>
      <t>To</t>
    </r>
    <r>
      <rPr>
        <b/>
        <sz val="10"/>
        <color indexed="16"/>
        <rFont val="Calibri"/>
        <family val="2"/>
      </rPr>
      <t xml:space="preserve"> Entity Listed</t>
    </r>
    <r>
      <rPr>
        <u/>
        <sz val="10"/>
        <color indexed="12"/>
        <rFont val="Calibri"/>
        <family val="2"/>
      </rPr>
      <t xml:space="preserve"> </t>
    </r>
    <r>
      <rPr>
        <b/>
        <u/>
        <sz val="8"/>
        <color indexed="12"/>
        <rFont val="Calibri"/>
        <family val="2"/>
      </rPr>
      <t>(find HCCIS ID)</t>
    </r>
  </si>
  <si>
    <r>
      <t xml:space="preserve">Equipment Leased </t>
    </r>
    <r>
      <rPr>
        <b/>
        <i/>
        <sz val="10"/>
        <color indexed="16"/>
        <rFont val="Calibri"/>
        <family val="2"/>
      </rPr>
      <t>From</t>
    </r>
    <r>
      <rPr>
        <b/>
        <sz val="10"/>
        <color indexed="16"/>
        <rFont val="Calibri"/>
        <family val="2"/>
      </rPr>
      <t xml:space="preserve"> Entity Listed</t>
    </r>
    <r>
      <rPr>
        <u/>
        <sz val="10"/>
        <color indexed="12"/>
        <rFont val="Calibri"/>
        <family val="2"/>
      </rPr>
      <t xml:space="preserve"> </t>
    </r>
    <r>
      <rPr>
        <b/>
        <u/>
        <sz val="8"/>
        <color indexed="12"/>
        <rFont val="Calibri"/>
        <family val="2"/>
      </rPr>
      <t>(find HCCIS ID)</t>
    </r>
  </si>
  <si>
    <r>
      <t xml:space="preserve">Please list </t>
    </r>
    <r>
      <rPr>
        <b/>
        <i/>
        <sz val="10"/>
        <color indexed="16"/>
        <rFont val="Calibri"/>
        <family val="2"/>
      </rPr>
      <t>all</t>
    </r>
    <r>
      <rPr>
        <sz val="10"/>
        <color indexed="16"/>
        <rFont val="Calibri"/>
        <family val="2"/>
      </rPr>
      <t xml:space="preserve"> the locations where the mobile equipment is parked and diagnostic imaging services are provided </t>
    </r>
    <r>
      <rPr>
        <b/>
        <i/>
        <sz val="10"/>
        <color indexed="16"/>
        <rFont val="Calibri"/>
        <family val="2"/>
      </rPr>
      <t>and</t>
    </r>
    <r>
      <rPr>
        <sz val="10"/>
        <color indexed="16"/>
        <rFont val="Calibri"/>
        <family val="2"/>
      </rPr>
      <t xml:space="preserve"> the services </t>
    </r>
    <r>
      <rPr>
        <b/>
        <i/>
        <sz val="10"/>
        <color indexed="16"/>
        <rFont val="Calibri"/>
        <family val="2"/>
      </rPr>
      <t>(technical component)</t>
    </r>
    <r>
      <rPr>
        <sz val="10"/>
        <color indexed="16"/>
        <rFont val="Calibri"/>
        <family val="2"/>
      </rPr>
      <t xml:space="preserve"> are </t>
    </r>
    <r>
      <rPr>
        <b/>
        <i/>
        <sz val="10"/>
        <color indexed="16"/>
        <rFont val="Calibri"/>
        <family val="2"/>
      </rPr>
      <t xml:space="preserve">billed by the owner </t>
    </r>
    <r>
      <rPr>
        <sz val="10"/>
        <color indexed="16"/>
        <rFont val="Calibri"/>
        <family val="2"/>
      </rPr>
      <t>of the diagnostic imaging equipment.</t>
    </r>
  </si>
  <si>
    <r>
      <t xml:space="preserve">Please enter the names of all physicians with any </t>
    </r>
    <r>
      <rPr>
        <u/>
        <sz val="10"/>
        <color indexed="12"/>
        <rFont val="Calibri"/>
        <family val="2"/>
      </rPr>
      <t>financial or economic interest</t>
    </r>
    <r>
      <rPr>
        <sz val="10"/>
        <color indexed="16"/>
        <rFont val="Calibri"/>
        <family val="2"/>
      </rPr>
      <t xml:space="preserve"> excluding salaried physicians, unless the physicians' salary is adjusted for volume of service, and all other individuals with a ten percent or greater financial or economic interest in the facility. </t>
    </r>
  </si>
  <si>
    <r>
      <t xml:space="preserve">Total number of Capital Expenditure </t>
    </r>
    <r>
      <rPr>
        <b/>
        <i/>
        <sz val="10"/>
        <rFont val="Calibri"/>
        <family val="2"/>
      </rPr>
      <t>projects</t>
    </r>
    <r>
      <rPr>
        <sz val="10"/>
        <rFont val="Calibri"/>
        <family val="2"/>
      </rPr>
      <t xml:space="preserve"> over $1 million dollars each</t>
    </r>
  </si>
  <si>
    <r>
      <t>Diagnostic Imaging</t>
    </r>
    <r>
      <rPr>
        <sz val="10"/>
        <rFont val="Calibri"/>
        <family val="2"/>
      </rPr>
      <t xml:space="preserve"> (includes new </t>
    </r>
    <r>
      <rPr>
        <b/>
        <i/>
        <sz val="10"/>
        <rFont val="Calibri"/>
        <family val="2"/>
      </rPr>
      <t>and</t>
    </r>
    <r>
      <rPr>
        <sz val="10"/>
        <rFont val="Calibri"/>
        <family val="2"/>
      </rPr>
      <t xml:space="preserve"> replacement equipment)</t>
    </r>
  </si>
  <si>
    <r>
      <t>Retrospective Review Exceptions
(please indicate if this project falls</t>
    </r>
    <r>
      <rPr>
        <b/>
        <i/>
        <sz val="10"/>
        <color indexed="16"/>
        <rFont val="Calibri"/>
        <family val="2"/>
      </rPr>
      <t xml:space="preserve">
</t>
    </r>
    <r>
      <rPr>
        <b/>
        <sz val="10"/>
        <color indexed="16"/>
        <rFont val="Calibri"/>
        <family val="2"/>
      </rPr>
      <t>in any of the following categories)</t>
    </r>
  </si>
  <si>
    <r>
      <t>Provider of Diagnostic Imaging Services:</t>
    </r>
    <r>
      <rPr>
        <sz val="10"/>
        <rFont val="Calibri"/>
        <family val="2"/>
      </rPr>
      <t xml:space="preserve">  A diagnostic imaging facility </t>
    </r>
    <r>
      <rPr>
        <b/>
        <i/>
        <sz val="10"/>
        <rFont val="Calibri"/>
        <family val="2"/>
      </rPr>
      <t>or</t>
    </r>
    <r>
      <rPr>
        <sz val="10"/>
        <rFont val="Calibri"/>
        <family val="2"/>
      </rPr>
      <t xml:space="preserve"> an entity that </t>
    </r>
    <r>
      <rPr>
        <b/>
        <i/>
        <sz val="10"/>
        <rFont val="Calibri"/>
        <family val="2"/>
      </rPr>
      <t>offers and bills for</t>
    </r>
    <r>
      <rPr>
        <sz val="10"/>
        <rFont val="Calibri"/>
        <family val="2"/>
      </rPr>
      <t xml:space="preserve"> diagnostic imaging services at a facility </t>
    </r>
    <r>
      <rPr>
        <b/>
        <i/>
        <sz val="10"/>
        <rFont val="Calibri"/>
        <family val="2"/>
      </rPr>
      <t>owned or leased</t>
    </r>
    <r>
      <rPr>
        <sz val="10"/>
        <rFont val="Calibri"/>
        <family val="2"/>
      </rPr>
      <t xml:space="preserve"> by the entity.</t>
    </r>
  </si>
  <si>
    <r>
      <t>Diagnostic Imaging Facility:</t>
    </r>
    <r>
      <rPr>
        <sz val="10"/>
        <rFont val="Calibri"/>
        <family val="2"/>
      </rPr>
      <t xml:space="preserve">  A health care facility that is not a hospital or location licensed as a hospital which offers diagnostic imaging services in Minnesota, regardless of whether the equipment used to provide the service is owned or leased. A diagnostic imaging facility includes, but is not limited to, facilities such as a physician's office, clinic, mobile transport vehicle, outpatient imaging center, or surgical center.</t>
    </r>
  </si>
  <si>
    <r>
      <t>Diagnostic Imaging Service:</t>
    </r>
    <r>
      <rPr>
        <sz val="10"/>
        <rFont val="Calibri"/>
        <family val="2"/>
      </rPr>
      <t xml:space="preserve"> The use of ionizing radiation or other imaging technique on a human patient including, but not limited to, magnetic resonance imaging (MRI) or computerized tomography (CT), positron emission tomography (PET), or single photon emission computerized tomography (SPECT) scans using fixed, portable, or mobile equipment.</t>
    </r>
  </si>
  <si>
    <r>
      <t>National Provider Identifier (NPI).  Enter the NPI you have been assigned from the Centers for Medicare &amp; Medicaid Services (CMS).  See</t>
    </r>
    <r>
      <rPr>
        <u/>
        <sz val="10"/>
        <color indexed="12"/>
        <rFont val="Calibri"/>
        <family val="2"/>
      </rPr>
      <t xml:space="preserve"> http://www.cms.hhs.gov/NationalProvIdentStand/ </t>
    </r>
    <r>
      <rPr>
        <sz val="10"/>
        <rFont val="Calibri"/>
        <family val="2"/>
      </rPr>
      <t>for more information.</t>
    </r>
  </si>
  <si>
    <r>
      <t>Financial or Economic Interest:</t>
    </r>
    <r>
      <rPr>
        <sz val="10"/>
        <rFont val="Calibri"/>
        <family val="2"/>
      </rPr>
      <t xml:space="preserve">  A direct or indirect:
  (1) equity or debt security issued by an entity, including, but not limited to, shares of stock 
in a corporation, membership in a limited liability company, beneficial interest in a trust, units 
or other interests in a partnership, bonds, debentures, notes or other equity interests or debt 
instruments, or any contractual arrangements;
   (2) membership, proprietary interest, or co-ownership with an individual, group, or 
organization to which patients, clients, or customers are referred to; or
   (3) employer-employee or independent contractor relationship, including, but not limited 
to, those that may occur in a limited partnership, profit-sharing arrangement, or other similar 
arrangement with any facility to which patients are referred, including any compensation between a facility and a health care provider, the group practice of which the provider is a member or employee or a related party with respect to any of them.</t>
    </r>
  </si>
  <si>
    <r>
      <t>Fixed Equipment:</t>
    </r>
    <r>
      <rPr>
        <sz val="10"/>
        <rFont val="Calibri"/>
        <family val="2"/>
      </rPr>
      <t xml:space="preserve">  A stationary diagnostic imaging machine </t>
    </r>
    <r>
      <rPr>
        <b/>
        <i/>
        <sz val="10"/>
        <rFont val="Calibri"/>
        <family val="2"/>
      </rPr>
      <t>installed in</t>
    </r>
    <r>
      <rPr>
        <sz val="10"/>
        <rFont val="Calibri"/>
        <family val="2"/>
      </rPr>
      <t xml:space="preserve"> a permanent location.</t>
    </r>
  </si>
  <si>
    <r>
      <t xml:space="preserve">Portable Equipment:  </t>
    </r>
    <r>
      <rPr>
        <sz val="10"/>
        <rFont val="Calibri"/>
        <family val="2"/>
      </rPr>
      <t xml:space="preserve">A diagnostic imaging machine designed to be temporarily </t>
    </r>
    <r>
      <rPr>
        <b/>
        <i/>
        <sz val="10"/>
        <rFont val="Calibri"/>
        <family val="2"/>
      </rPr>
      <t>transported within</t>
    </r>
    <r>
      <rPr>
        <sz val="10"/>
        <rFont val="Calibri"/>
        <family val="2"/>
      </rPr>
      <t xml:space="preserve"> a permanent location to perform diagnostic imaging services.</t>
    </r>
  </si>
  <si>
    <r>
      <t>Mobile Equipment:</t>
    </r>
    <r>
      <rPr>
        <sz val="10"/>
        <rFont val="Calibri"/>
        <family val="2"/>
      </rPr>
      <t xml:space="preserve">  A diagnostic imaging machine in a self-contained transport vehicle designed to be brought to a </t>
    </r>
    <r>
      <rPr>
        <b/>
        <i/>
        <sz val="10"/>
        <rFont val="Calibri"/>
        <family val="2"/>
      </rPr>
      <t>temporary offsite location</t>
    </r>
    <r>
      <rPr>
        <sz val="10"/>
        <rFont val="Calibri"/>
        <family val="2"/>
      </rPr>
      <t xml:space="preserve"> to perform diagnostic imaging services.</t>
    </r>
  </si>
  <si>
    <r>
      <t xml:space="preserve">Capital Expenditure: </t>
    </r>
    <r>
      <rPr>
        <sz val="10"/>
        <rFont val="Calibri"/>
        <family val="2"/>
      </rPr>
      <t>An expenditure which, under generally accepted accounting priniciples, is not properly chargeable as an expense of operation and maintenance.</t>
    </r>
  </si>
  <si>
    <r>
      <t>Major Capital Expenditure Spending Commitment:</t>
    </r>
    <r>
      <rPr>
        <sz val="10"/>
        <rFont val="Calibri"/>
        <family val="2"/>
      </rPr>
      <t xml:space="preserve"> An expenditure in excess of $1,000,000 for:
     (1) acquisition of a unit of medical equipment;
     (2) a capital expenditure for a single project for the purposes of providing health care services, other than for the acquisition of medical equipment;
     (3) offering a new specialized service not offered before;
     (4) planning for an activity that would qualify as a major spending commitment under this paragraph; or
     (5) a project involving a combination of two or more of the activities in clauses (1) to (4).
The cost of acquisition of medical equipment, and the amount of a capital expenditure, is the total cost to the provider regardless of whether the cost is distributed over
time through a lease arrangement or other financing or payment mechanism.</t>
    </r>
  </si>
  <si>
    <r>
      <t xml:space="preserve">Date of Spending Commitment: </t>
    </r>
    <r>
      <rPr>
        <sz val="10"/>
        <rFont val="Calibri"/>
        <family val="2"/>
      </rPr>
      <t xml:space="preserve">The date the project was authorized by an Executive or Board of Directors </t>
    </r>
  </si>
  <si>
    <r>
      <t>Health Care Service:</t>
    </r>
    <r>
      <rPr>
        <sz val="10"/>
        <rFont val="Calibri"/>
        <family val="2"/>
      </rPr>
      <t xml:space="preserve"> means
     (1) a service or item that would be covered by the medical assistance program under Minnesota Statutes Chapter 256B if provided in accordance with medial assistance requirements to an eligible medical assistance recipient; and
     (2) a service or item that would be covered by medical assistance except that it is characterized as experimental, cosmetic or voluntary.
Health Care Service DOES NOT INCLUDE:
         retail, over-the-counter sales of nonprescription drugs and other retail sales of health-related products that are not generally paid for by medical assistance and other third-party coverage.</t>
    </r>
  </si>
  <si>
    <r>
      <t xml:space="preserve">Medical Equipment: </t>
    </r>
    <r>
      <rPr>
        <sz val="10"/>
        <rFont val="Calibri"/>
        <family val="2"/>
      </rPr>
      <t>means fixed and movable equipment that is used by a provider in the provision of health care service.</t>
    </r>
    <r>
      <rPr>
        <b/>
        <sz val="10"/>
        <rFont val="Calibri"/>
        <family val="2"/>
      </rPr>
      <t xml:space="preserve"> </t>
    </r>
  </si>
  <si>
    <r>
      <t>New Specialized Service:</t>
    </r>
    <r>
      <rPr>
        <sz val="10"/>
        <rFont val="Calibri"/>
        <family val="2"/>
      </rPr>
      <t xml:space="preserve"> means a specialized health care procedure or treatment regimen offered by a provider that was not previously offered by the provider.</t>
    </r>
  </si>
  <si>
    <r>
      <t>Specialty Care:</t>
    </r>
    <r>
      <rPr>
        <sz val="10"/>
        <rFont val="Calibri"/>
        <family val="2"/>
      </rPr>
      <t xml:space="preserve"> includes but is not limited to cardiac, neurology, orthopedic, obstetrics, mental health, chemical dependency, and emergency services.</t>
    </r>
  </si>
  <si>
    <r>
      <t xml:space="preserve">Exceptions 
</t>
    </r>
    <r>
      <rPr>
        <sz val="10"/>
        <rFont val="Calibri"/>
        <family val="2"/>
      </rPr>
      <t>Capital Expenditure Retrospective Review reporting requirement in do not apply to the following capital activities:
     (1) commitment made by a research and teaching institution for purposes of conducting medical education, medical research supported or sponsored by a medical school, or by a federal or foundation grant or clinical trials;
     (2) a major spending commitment for building maintenance including heating, water, electricity, and other maintenance-related expenditures; and
     (3) a major spending commitment for activities, not directly related to the delivery of patient care services, including food service, laundry, housekeeping, and other service-related activities.
     (4) mergers, acquisitions, and other changes in ownership or control that, in the judgment of the commissioner, do not involve a substantial expansion of service capacity or a substantial change in the nature of health care services provided.</t>
    </r>
  </si>
  <si>
    <t>RS
MRI</t>
  </si>
  <si>
    <t>RS
MRI
Exp Date</t>
  </si>
  <si>
    <t>RS
PET</t>
  </si>
  <si>
    <t>RS
PET
Exp Date</t>
  </si>
  <si>
    <t>RS
CT</t>
  </si>
  <si>
    <t>RS
CT
Exp Date</t>
  </si>
  <si>
    <t>RS
SPECT</t>
  </si>
  <si>
    <t>RS
SPECT
Exp Date</t>
  </si>
  <si>
    <t>RadSite
(RS)</t>
  </si>
  <si>
    <t>RS</t>
  </si>
  <si>
    <t>RS-MRI</t>
  </si>
  <si>
    <t>RS-MRI Exp Date</t>
  </si>
  <si>
    <t>RS-PET</t>
  </si>
  <si>
    <t>RS-PET Exp Date</t>
  </si>
  <si>
    <t>RS-CT</t>
  </si>
  <si>
    <t>RS-CT Exp Date</t>
  </si>
  <si>
    <t>RS-SPECT</t>
  </si>
  <si>
    <t>RS-SPECT Exp Date</t>
  </si>
  <si>
    <t>na</t>
  </si>
  <si>
    <t>Nuc Cardiology</t>
  </si>
  <si>
    <t>MA/PMAP and MinnesotaCare Total</t>
  </si>
  <si>
    <t>Certification Statement: By adding my name below, I hereby certify that I have examined this Annual Report and to the best of my knowledge, the information contained in this report is accurate.</t>
  </si>
  <si>
    <r>
      <t xml:space="preserve">The Minnesota Department of Health (MDH) requires the use of an electronic workbook in completing this formset. This formset is a multiple tabbed Excel workbook. Tabs can be found along the bottom of the workbook. There are hyperlinks throughout to help with navigation through the report and to assist with definitions. Please be sure to complete all sections of the formset and </t>
    </r>
    <r>
      <rPr>
        <b/>
        <sz val="10"/>
        <rFont val="Calibri"/>
        <family val="2"/>
      </rPr>
      <t>e-mail the completed Microsoft Excel™ formset</t>
    </r>
    <r>
      <rPr>
        <sz val="10"/>
        <rFont val="Calibri"/>
        <family val="2"/>
      </rPr>
      <t xml:space="preserve"> back to health.hccis@state.mn.us.</t>
    </r>
  </si>
  <si>
    <t>Complete this form and include a name in the Certification block on row 28.  Indicate any changes or corrections to data shown.</t>
  </si>
  <si>
    <t>This section should be completed by an officer of the Diagnostic Imaging facility such as the Administrator, CEO, or CFO.</t>
  </si>
  <si>
    <t>Facility Affiliation(s)</t>
  </si>
  <si>
    <t>Signature Provided = Formset type 38</t>
  </si>
  <si>
    <t>Advanced Specialty Associates, Ltd.</t>
  </si>
  <si>
    <t>BAXTER</t>
  </si>
  <si>
    <t>13359 Isle Drive</t>
  </si>
  <si>
    <t>Suite 1</t>
  </si>
  <si>
    <t>CROW WING</t>
  </si>
  <si>
    <t>Mindy</t>
  </si>
  <si>
    <t>Silvernail</t>
  </si>
  <si>
    <t>msilvernail@advancedspecialtyassociates.com</t>
  </si>
  <si>
    <t>Kurtis Waters MD</t>
  </si>
  <si>
    <t>www.advancedspecialtyassociates.com</t>
  </si>
  <si>
    <t>No Affiliation</t>
  </si>
  <si>
    <t xml:space="preserve">Advancements in Allergy &amp; Asthma Care, Ltd </t>
  </si>
  <si>
    <t>MINNETONKA</t>
  </si>
  <si>
    <t>12450 Wayzata Boulevard</t>
  </si>
  <si>
    <t>Suite 215</t>
  </si>
  <si>
    <t>Russ</t>
  </si>
  <si>
    <t>Rosckes</t>
  </si>
  <si>
    <t>Administrator</t>
  </si>
  <si>
    <t>rrosckes@aulto.org</t>
  </si>
  <si>
    <t>CEO</t>
  </si>
  <si>
    <t>Aslto, LLC</t>
  </si>
  <si>
    <t>HENNEPIN</t>
  </si>
  <si>
    <t>www.advancementsinallergy.com</t>
  </si>
  <si>
    <t>DAKOTA</t>
  </si>
  <si>
    <t>LAKEVILLE</t>
  </si>
  <si>
    <t>John</t>
  </si>
  <si>
    <t/>
  </si>
  <si>
    <t>12/31/2023</t>
  </si>
  <si>
    <t>Accountant</t>
  </si>
  <si>
    <t>blank</t>
  </si>
  <si>
    <t>During the 2007 legislative session, Minnesota Statutes 144.565, was modified to broaden the definition of health care facilities that are required to submit annual diagnostic imaging utilization and services information to MDH. The requirement to all health care facilities (with the exception of hospitals) that provide diagnostic imaging services through the use of ionizing radiation or other imaging technique using fixed, portable, or mobile equipment regardless of whether the equipment used to provide the service is owned or leased. Please note that clinics are no longer exempt from this reporting requirement.</t>
  </si>
  <si>
    <t>Minnesota Statutes 144.565</t>
  </si>
  <si>
    <r>
      <t xml:space="preserve">Minnesota Statutes 144.1225, require facilities that bill for the Technical Component of Advanced Diagnostic Imaging Services to be accredited by August 1, 2013 to be eligible for reimbursement. Facilities must annually report to the Commissioner of Health demonstration of this accreditation. Report accrediting organization, relevant modalities, and expiration of accreditation on this form. </t>
    </r>
    <r>
      <rPr>
        <b/>
        <sz val="10"/>
        <rFont val="Calibri"/>
        <family val="2"/>
      </rPr>
      <t>Submission of accreditation certification is required (pdf by email attachment) with this report.</t>
    </r>
  </si>
  <si>
    <t>Minnesota Statutes 144.1225</t>
  </si>
  <si>
    <t>end of table</t>
  </si>
  <si>
    <t>Minnesota Statutes 144.1225 required accreditation by August 1, 2013. Reporting accreditation on this form is required.</t>
  </si>
  <si>
    <r>
      <t xml:space="preserve">Use the space below for elaborations or explanations for any of the information supplied on this form, or to document any changes in methods used from prior years' data.  You can use the </t>
    </r>
    <r>
      <rPr>
        <sz val="10"/>
        <color rgb="FF0000FF"/>
        <rFont val="Calibri"/>
        <family val="2"/>
      </rPr>
      <t>hyperlinks</t>
    </r>
    <r>
      <rPr>
        <sz val="10"/>
        <color indexed="16"/>
        <rFont val="Calibri"/>
        <family val="2"/>
      </rPr>
      <t xml:space="preserve"> to return to specific sections in the form.</t>
    </r>
  </si>
  <si>
    <r>
      <t xml:space="preserve">Section 1: Utilization - </t>
    </r>
    <r>
      <rPr>
        <b/>
        <u/>
        <sz val="12"/>
        <color indexed="12"/>
        <rFont val="Calibri"/>
        <family val="2"/>
      </rPr>
      <t>Fixed Equipment</t>
    </r>
  </si>
  <si>
    <r>
      <t xml:space="preserve">Section 3: </t>
    </r>
    <r>
      <rPr>
        <b/>
        <sz val="12"/>
        <color indexed="16"/>
        <rFont val="Calibri"/>
        <family val="2"/>
      </rPr>
      <t>Ownership of</t>
    </r>
    <r>
      <rPr>
        <b/>
        <i/>
        <sz val="12"/>
        <color indexed="16"/>
        <rFont val="Calibri"/>
        <family val="2"/>
      </rPr>
      <t xml:space="preserve"> </t>
    </r>
    <r>
      <rPr>
        <b/>
        <sz val="12"/>
        <color indexed="16"/>
        <rFont val="Calibri"/>
        <family val="2"/>
      </rPr>
      <t>Fixed Equipment</t>
    </r>
  </si>
  <si>
    <r>
      <t>Section 4: Utilization -</t>
    </r>
    <r>
      <rPr>
        <b/>
        <u/>
        <sz val="12"/>
        <color indexed="12"/>
        <rFont val="Calibri"/>
        <family val="2"/>
      </rPr>
      <t xml:space="preserve"> Portable Equipment</t>
    </r>
  </si>
  <si>
    <r>
      <t xml:space="preserve">Section 7: Utilization - </t>
    </r>
    <r>
      <rPr>
        <b/>
        <u/>
        <sz val="12"/>
        <color indexed="12"/>
        <rFont val="Calibri"/>
        <family val="2"/>
      </rPr>
      <t>Mobile Equipment</t>
    </r>
  </si>
  <si>
    <t>blankl</t>
  </si>
  <si>
    <t xml:space="preserve"> blank</t>
  </si>
  <si>
    <r>
      <t xml:space="preserve">Please note as a result of the changes during the 2007 legislative session, some of these definitions have been changed, clarified, or new definitions have been added. See </t>
    </r>
    <r>
      <rPr>
        <u/>
        <sz val="10"/>
        <color rgb="FF0000FF"/>
        <rFont val="Calibri"/>
        <family val="2"/>
        <scheme val="minor"/>
      </rPr>
      <t>Minnesota Statutes 144.565</t>
    </r>
    <r>
      <rPr>
        <sz val="10"/>
        <color rgb="FF800000"/>
        <rFont val="Calibri"/>
        <family val="2"/>
        <scheme val="minor"/>
      </rPr>
      <t>.</t>
    </r>
  </si>
  <si>
    <t>formset type</t>
  </si>
  <si>
    <t>Report Received = Formset type 20</t>
  </si>
  <si>
    <t>Missing accreditations audit exclusions</t>
  </si>
  <si>
    <t>MA/PMAP and
 MinnesotaCare Total</t>
  </si>
  <si>
    <t>Formula for error messaging</t>
  </si>
  <si>
    <t>Formulas for error messaging below</t>
  </si>
  <si>
    <t>Formulas for reporting prompt</t>
  </si>
  <si>
    <t>Formula to display reporting prompt:</t>
  </si>
  <si>
    <r>
      <t xml:space="preserve">(Reporting Entity) </t>
    </r>
    <r>
      <rPr>
        <u/>
        <sz val="10"/>
        <color indexed="12"/>
        <rFont val="Calibri"/>
        <family val="2"/>
      </rPr>
      <t xml:space="preserve"> </t>
    </r>
    <r>
      <rPr>
        <b/>
        <u/>
        <sz val="10"/>
        <color indexed="12"/>
        <rFont val="Calibri"/>
        <family val="2"/>
      </rPr>
      <t>HCCIS ID</t>
    </r>
  </si>
  <si>
    <t>Enter the Mailing Address for the Facility in cells H7:J11</t>
  </si>
  <si>
    <t>Enter the Physical Location of the Facility in cells D7:G11</t>
  </si>
  <si>
    <t>Name of Person
completing this form</t>
  </si>
  <si>
    <t>This information is required by Minnesota Statutes 62J.17, subdivision 5a in order for the Minnesota Department of Health (MDH) to complete a retrospective review of commitments made for each project totaling over $1 million. If you have questions about completing this information, please contact health.hccis@state.mn.us.</t>
  </si>
  <si>
    <t>Minnesota Statutes 62J.17 was modified during the 2007 legislative session to require the annual submission of major capital expenditure commitments. The law previously required this information to be submitted throughout the year, as the facilities made the spending commitments. Providers should now include this information with the submission of each facility’s Diagnostic Imaging report.</t>
  </si>
  <si>
    <t>Information for EACH project over 1 million needs to be submitted on this formset on the Capital Expend Project Specific tab. Reporting this information is required by Minnesota Statutes 62J.17, subdivision 2 and 144.698, subdivision 1.</t>
  </si>
  <si>
    <r>
      <t xml:space="preserve">For all projects that are over 1 million, report the detail in this section.  Note that the parts of any project </t>
    </r>
    <r>
      <rPr>
        <b/>
        <i/>
        <sz val="10"/>
        <color indexed="16"/>
        <rFont val="Calibri"/>
        <family val="2"/>
      </rPr>
      <t>can</t>
    </r>
    <r>
      <rPr>
        <sz val="10"/>
        <color indexed="16"/>
        <rFont val="Calibri"/>
        <family val="2"/>
      </rPr>
      <t xml:space="preserve"> be reported in more than one category, but should </t>
    </r>
    <r>
      <rPr>
        <b/>
        <i/>
        <sz val="10"/>
        <color indexed="16"/>
        <rFont val="Calibri"/>
        <family val="2"/>
      </rPr>
      <t>not</t>
    </r>
    <r>
      <rPr>
        <sz val="10"/>
        <color indexed="16"/>
        <rFont val="Calibri"/>
        <family val="2"/>
      </rPr>
      <t xml:space="preserve"> be double counted. Reporting this information is required by Minnesota Statutes 62J.17, subdivision 2 and 144.698, subdivision 1.</t>
    </r>
  </si>
  <si>
    <t>(Reporting Entity)
HCCIS ID</t>
  </si>
  <si>
    <t>Cheif Administrative Officer</t>
  </si>
  <si>
    <t>Ryan</t>
  </si>
  <si>
    <t>Stepan</t>
  </si>
  <si>
    <t>rstepan@advancedspecialtyassociates.com</t>
  </si>
  <si>
    <t>12/31/2024</t>
  </si>
  <si>
    <t>08/31/2026</t>
  </si>
  <si>
    <t>Jennifer</t>
  </si>
  <si>
    <t>Rugland</t>
  </si>
  <si>
    <t>Clinic Manager</t>
  </si>
  <si>
    <t xml:space="preserve">Advancements in Allergy &amp; Asthma Care, LTD </t>
  </si>
  <si>
    <t>jrugland@aulto.org</t>
  </si>
  <si>
    <t>09/30/2024</t>
  </si>
  <si>
    <t>06/30/2026</t>
  </si>
  <si>
    <t>ADVENT - Blaine dba Minnesota Ear &amp; Sinus Center</t>
  </si>
  <si>
    <t>BLAINE</t>
  </si>
  <si>
    <t>4365 Pheasant Ridge Drive NE</t>
  </si>
  <si>
    <t>Suite 106</t>
  </si>
  <si>
    <t>ANOKA</t>
  </si>
  <si>
    <t>Karrie</t>
  </si>
  <si>
    <t>Mentry</t>
  </si>
  <si>
    <t>kmentry@adventknows.com</t>
  </si>
  <si>
    <t>Briana</t>
  </si>
  <si>
    <t>Herzog</t>
  </si>
  <si>
    <t>Quality Organization Coordinator</t>
  </si>
  <si>
    <t>ADVENT KNOWS</t>
  </si>
  <si>
    <t>bherzog@adventknows.com</t>
  </si>
  <si>
    <t>10001 West Innovation Drive</t>
  </si>
  <si>
    <t>WAUWATOSA</t>
  </si>
  <si>
    <t>MILWAUKEE</t>
  </si>
  <si>
    <t>WI</t>
  </si>
  <si>
    <t>Debra</t>
  </si>
  <si>
    <t>Ehlert</t>
  </si>
  <si>
    <t>Senior Quality and Data Specialist</t>
  </si>
  <si>
    <t>dehlert@adventknows.com</t>
  </si>
  <si>
    <t>www.mnearsinus.com</t>
  </si>
  <si>
    <t>ADVENT</t>
  </si>
  <si>
    <t>10/24/2026</t>
  </si>
  <si>
    <t>ADVENT - Eagan</t>
  </si>
  <si>
    <t>EAGAN</t>
  </si>
  <si>
    <t>845 Vikings Parkway</t>
  </si>
  <si>
    <t>Suite B</t>
  </si>
  <si>
    <t>https://adventknows.com/locations/eagan</t>
  </si>
  <si>
    <t>12/31/2025</t>
  </si>
  <si>
    <t>01/25/2027</t>
  </si>
  <si>
    <t>ADVENT - Maple Grove</t>
  </si>
  <si>
    <t>MAPLE GROVE</t>
  </si>
  <si>
    <t>9325 Upland Lane North</t>
  </si>
  <si>
    <t>Suite 200</t>
  </si>
  <si>
    <t>https://adventknows.com/locations/maple-grove</t>
  </si>
  <si>
    <t>02/27/2027</t>
  </si>
  <si>
    <t>ADVENT - Woodbury</t>
  </si>
  <si>
    <t>WOODBURY</t>
  </si>
  <si>
    <t>8401 Seasons Parkway</t>
  </si>
  <si>
    <t>Suite 300</t>
  </si>
  <si>
    <t>WASHINGTON</t>
  </si>
  <si>
    <t>https://adventknows.com/locations/woodbury</t>
  </si>
  <si>
    <t>09/28/2026</t>
  </si>
  <si>
    <t>Affiliated Community Medical Center - Willmar</t>
  </si>
  <si>
    <t>WILLMAR</t>
  </si>
  <si>
    <t>101 Willmar Avenue Southwest</t>
  </si>
  <si>
    <t>KANDIYOHI</t>
  </si>
  <si>
    <t>301 Becker Avenue SW</t>
  </si>
  <si>
    <t>Mike</t>
  </si>
  <si>
    <t>Schramm</t>
  </si>
  <si>
    <t>Samantha</t>
  </si>
  <si>
    <t>Schneeberg</t>
  </si>
  <si>
    <t>Associate Financial Analyst</t>
  </si>
  <si>
    <t>CentraCare Health System</t>
  </si>
  <si>
    <t>samantha.schneeberg@centracare.com</t>
  </si>
  <si>
    <t>1406 Sixth Avenue North</t>
  </si>
  <si>
    <t>ST. CLOUD</t>
  </si>
  <si>
    <t>STEARNS</t>
  </si>
  <si>
    <t>Andrew</t>
  </si>
  <si>
    <t>Rolling</t>
  </si>
  <si>
    <t>Sr. Director - Finance Ops</t>
  </si>
  <si>
    <t>andrew.rolling@centracare.com</t>
  </si>
  <si>
    <t>Carris Health, LLC</t>
  </si>
  <si>
    <t>Affiliated Community Medical Centers</t>
  </si>
  <si>
    <t>06/30/2024</t>
  </si>
  <si>
    <t>05/31/2026</t>
  </si>
  <si>
    <t>12/21/2026</t>
  </si>
  <si>
    <t>Alexandria CDI @ Alomere Health</t>
  </si>
  <si>
    <t>ALEXANDRIA</t>
  </si>
  <si>
    <t>111 - 17th Avenue East</t>
  </si>
  <si>
    <t>DOUGLAS</t>
  </si>
  <si>
    <t>5775 Wayzata Boulevard</t>
  </si>
  <si>
    <t>Suite 400</t>
  </si>
  <si>
    <t>ST. LOUIS PARK</t>
  </si>
  <si>
    <t>Tiffany</t>
  </si>
  <si>
    <t>Spartz</t>
  </si>
  <si>
    <t>EVP, Physician Practices</t>
  </si>
  <si>
    <t>Tiffany.Spartz@rayusradiology.com</t>
  </si>
  <si>
    <t>Ryan Raschke</t>
  </si>
  <si>
    <t>Sue</t>
  </si>
  <si>
    <t>Holman</t>
  </si>
  <si>
    <t>Sr. Dir RCM Credentialing &amp; Bus. Implementation</t>
  </si>
  <si>
    <t>Center for Diagnostic Imaging, Inc.</t>
  </si>
  <si>
    <t>sue.holman@rayusradiology.com</t>
  </si>
  <si>
    <t>Suite 425</t>
  </si>
  <si>
    <t>www.rayusradiology.com</t>
  </si>
  <si>
    <t>Center for Diagnostic Imaging, Inc./ Rayus Radiology</t>
  </si>
  <si>
    <t>CDI-MN, LLC, 610 Properties, LLC, 1527 Broadway, LLC,  Latoka Investments, LLC, Scott Swenson, M.D.</t>
  </si>
  <si>
    <t>Douglas County Hospital</t>
  </si>
  <si>
    <t>12/17/2025</t>
  </si>
  <si>
    <t>05/15/2026</t>
  </si>
  <si>
    <t>04/07/2026</t>
  </si>
  <si>
    <t>06/20/2026</t>
  </si>
  <si>
    <t>Allina Health Clinic - Eden Prairie</t>
  </si>
  <si>
    <t>EDEN PRAIRIE</t>
  </si>
  <si>
    <t>775 Prairie Center Drive</t>
  </si>
  <si>
    <t>Carrie</t>
  </si>
  <si>
    <t>Hubert</t>
  </si>
  <si>
    <t>carrie.hubert@allina.com</t>
  </si>
  <si>
    <t>Richard Magnuson</t>
  </si>
  <si>
    <t>Manager CV Operations</t>
  </si>
  <si>
    <t>Allina Health</t>
  </si>
  <si>
    <t>800 East 28th Street</t>
  </si>
  <si>
    <t>MINNEAPOLIS</t>
  </si>
  <si>
    <t>Jill</t>
  </si>
  <si>
    <t>Sandstrom</t>
  </si>
  <si>
    <t>Director</t>
  </si>
  <si>
    <t>jill.sandstrom@allina.com</t>
  </si>
  <si>
    <t>www.allina.com</t>
  </si>
  <si>
    <t>Allina Health System</t>
  </si>
  <si>
    <t>Allina Health Clinic - Vadnais Heights</t>
  </si>
  <si>
    <t>VADNAIS HEIGHTS</t>
  </si>
  <si>
    <t>1155 East County Road E</t>
  </si>
  <si>
    <t>Suite 100</t>
  </si>
  <si>
    <t>RAMSEY</t>
  </si>
  <si>
    <t>Nancy</t>
  </si>
  <si>
    <t>McCallum</t>
  </si>
  <si>
    <t>nancy.mccallum@allina.com</t>
  </si>
  <si>
    <t>Marissa</t>
  </si>
  <si>
    <t>Hilario</t>
  </si>
  <si>
    <t>marissa.hilario@allina.com</t>
  </si>
  <si>
    <t>2925 Chicago Avenue</t>
  </si>
  <si>
    <t>Sandra</t>
  </si>
  <si>
    <t>Matrella</t>
  </si>
  <si>
    <t>Director of Finance - Reginal &amp; Clinical Svcs</t>
  </si>
  <si>
    <t>sandie.matrella@allina.com</t>
  </si>
  <si>
    <t>Kathleen</t>
  </si>
  <si>
    <t>Inveen</t>
  </si>
  <si>
    <t>Directory of Radiology - CI Op</t>
  </si>
  <si>
    <t>kathleen.inveen@allina.com</t>
  </si>
  <si>
    <t>02/21/2026</t>
  </si>
  <si>
    <t>Allina Health Lakeville Specialty Center</t>
  </si>
  <si>
    <t>18465 Orchard Trail</t>
  </si>
  <si>
    <t>Suite 150</t>
  </si>
  <si>
    <t>www.allinahealth.org/locations/2002</t>
  </si>
  <si>
    <t>09/10/2027</t>
  </si>
  <si>
    <t>Allina Medical Clinic - Apple Valley</t>
  </si>
  <si>
    <t>APPLE VALLEY</t>
  </si>
  <si>
    <t>14655 Galaxie Avenue</t>
  </si>
  <si>
    <t>Eleisah</t>
  </si>
  <si>
    <t>Gant</t>
  </si>
  <si>
    <t>eleisah.gant@allina.com</t>
  </si>
  <si>
    <t>02/20/2025</t>
  </si>
  <si>
    <t>02/22/2027</t>
  </si>
  <si>
    <t>Allina Medical Clinic - Forest Lake</t>
  </si>
  <si>
    <t>FOREST LAKE</t>
  </si>
  <si>
    <t>1540 South Lake Street</t>
  </si>
  <si>
    <t>Kathy</t>
  </si>
  <si>
    <t>Fouche-Dill</t>
  </si>
  <si>
    <t>kathy.dill@allina.com</t>
  </si>
  <si>
    <t>08/07/2025</t>
  </si>
  <si>
    <t>Allina Medical Clinic - Northfield</t>
  </si>
  <si>
    <t>NORTHFIELD</t>
  </si>
  <si>
    <t>1400 Jefferson Road</t>
  </si>
  <si>
    <t>RICE</t>
  </si>
  <si>
    <t>Sally</t>
  </si>
  <si>
    <t>Bauer</t>
  </si>
  <si>
    <t>sally.bauer@allina.com</t>
  </si>
  <si>
    <t>06/20/2025</t>
  </si>
  <si>
    <t>08/30/2026</t>
  </si>
  <si>
    <t>10/18/2026</t>
  </si>
  <si>
    <t>Allina Medical Clinic - Woodbury</t>
  </si>
  <si>
    <t>8675 Valley Creek Road</t>
  </si>
  <si>
    <t>Mary</t>
  </si>
  <si>
    <t>Rahman</t>
  </si>
  <si>
    <t>mary.rahman@allina.com</t>
  </si>
  <si>
    <t>05/12/2026</t>
  </si>
  <si>
    <t>05/16/2026</t>
  </si>
  <si>
    <t>Alllina Health Imaging Center - Edina</t>
  </si>
  <si>
    <t>EDINA</t>
  </si>
  <si>
    <t>3955 Parklawn Avenue</t>
  </si>
  <si>
    <t>Natalie</t>
  </si>
  <si>
    <t>Sosinske</t>
  </si>
  <si>
    <t>Clinic Supervisor</t>
  </si>
  <si>
    <t>natalie.sosinske@allina.com</t>
  </si>
  <si>
    <t>11/15/2025</t>
  </si>
  <si>
    <t>12/04/2025</t>
  </si>
  <si>
    <t>Altru Clinic - Crookston</t>
  </si>
  <si>
    <t>CROOKSTON</t>
  </si>
  <si>
    <t>400 South Minnesota Street</t>
  </si>
  <si>
    <t>Attn: Radiology</t>
  </si>
  <si>
    <t>POLK</t>
  </si>
  <si>
    <t>Meghan</t>
  </si>
  <si>
    <t>Compton</t>
  </si>
  <si>
    <t>Chief Clinical Operations Officer</t>
  </si>
  <si>
    <t>mcompton@altru.org</t>
  </si>
  <si>
    <t>Todd Forkel</t>
  </si>
  <si>
    <t>Machelle</t>
  </si>
  <si>
    <t>Sorenson</t>
  </si>
  <si>
    <t>Manager of Imaging</t>
  </si>
  <si>
    <t>Altru Health System</t>
  </si>
  <si>
    <t>msorenson@altru.org</t>
  </si>
  <si>
    <t>1200 South Columbia Road</t>
  </si>
  <si>
    <t>GRAND FORKS</t>
  </si>
  <si>
    <t>ND</t>
  </si>
  <si>
    <t>Bre</t>
  </si>
  <si>
    <t>Brintell</t>
  </si>
  <si>
    <t>Radiology Supervisor</t>
  </si>
  <si>
    <t>bbrintnell@altru.org</t>
  </si>
  <si>
    <t>Derek</t>
  </si>
  <si>
    <t>Goebel</t>
  </si>
  <si>
    <t>Director of Finance and Supply Chain</t>
  </si>
  <si>
    <t>dgoebel@altru.org</t>
  </si>
  <si>
    <t>www.altru.org</t>
  </si>
  <si>
    <t>11/05/2025</t>
  </si>
  <si>
    <t>Andros ENT &amp; Sleep Center, PA</t>
  </si>
  <si>
    <t>INVER GROVE HEIGHTS</t>
  </si>
  <si>
    <t>5565 Blaine Avenue</t>
  </si>
  <si>
    <t>Suite 225</t>
  </si>
  <si>
    <t>Vicky</t>
  </si>
  <si>
    <t>Rosedahl</t>
  </si>
  <si>
    <t>Practice Administrator</t>
  </si>
  <si>
    <t>vicki@andros-sleep.com</t>
  </si>
  <si>
    <t>Inell C. Rosario MD</t>
  </si>
  <si>
    <t>Inell C.</t>
  </si>
  <si>
    <t>Rosario</t>
  </si>
  <si>
    <t>Physician Owner</t>
  </si>
  <si>
    <t>drrosario@androsent-sleep.com</t>
  </si>
  <si>
    <t>Luis</t>
  </si>
  <si>
    <t>www.androsent-sleep.com</t>
  </si>
  <si>
    <t>01/31/2023</t>
  </si>
  <si>
    <t>Arrowhead Surgery Center</t>
  </si>
  <si>
    <t>DULUTH</t>
  </si>
  <si>
    <t>4316 Rice Lake Road</t>
  </si>
  <si>
    <t>Suite 104</t>
  </si>
  <si>
    <t>ST. LOUIS</t>
  </si>
  <si>
    <t>Ben</t>
  </si>
  <si>
    <t>Fagerlie</t>
  </si>
  <si>
    <t>ben.fagerlie@ascduluth.com</t>
  </si>
  <si>
    <t>https://ascduluth.com/</t>
  </si>
  <si>
    <t>Aspen Medical Group - Bandana Square</t>
  </si>
  <si>
    <t>ST. PAUL</t>
  </si>
  <si>
    <t>1021 Bandana Boulevard East</t>
  </si>
  <si>
    <t>Michele</t>
  </si>
  <si>
    <t>Zent</t>
  </si>
  <si>
    <t>yvonne.zent@allina.com</t>
  </si>
  <si>
    <t>07/12/2025</t>
  </si>
  <si>
    <t>Aspen Medical Group - Maplewood</t>
  </si>
  <si>
    <t>MAPLEWOOD</t>
  </si>
  <si>
    <t>1850 Beam Avenue</t>
  </si>
  <si>
    <t>Caty</t>
  </si>
  <si>
    <t>Fill;a</t>
  </si>
  <si>
    <t>catherine.filla@allina.com</t>
  </si>
  <si>
    <t>`</t>
  </si>
  <si>
    <t>Avera Medical Group - Worthington</t>
  </si>
  <si>
    <t>WORTHINGTON</t>
  </si>
  <si>
    <t>1216 Ryans Road</t>
  </si>
  <si>
    <t>NOBLES</t>
  </si>
  <si>
    <t>Kelli</t>
  </si>
  <si>
    <t>Van Grouw</t>
  </si>
  <si>
    <t>kelli.vangrouw@avera.org</t>
  </si>
  <si>
    <t>www.avera.org</t>
  </si>
  <si>
    <t>Avera Health</t>
  </si>
  <si>
    <t>11/30/2026</t>
  </si>
  <si>
    <t>Captive Radiology</t>
  </si>
  <si>
    <t>NORTH CANTON</t>
  </si>
  <si>
    <t>6273 Frank Avenue NW</t>
  </si>
  <si>
    <t>OH</t>
  </si>
  <si>
    <t>David</t>
  </si>
  <si>
    <t>Kelly</t>
  </si>
  <si>
    <t>Miranda</t>
  </si>
  <si>
    <t>Mayle</t>
  </si>
  <si>
    <t>miranda@captiveradiology.com</t>
  </si>
  <si>
    <t>www.captive Radiology.com</t>
  </si>
  <si>
    <t>Catalina Imaging, Inc. CT28</t>
  </si>
  <si>
    <t>DAYTON</t>
  </si>
  <si>
    <t>944 Lakeview Drive</t>
  </si>
  <si>
    <t>NV</t>
  </si>
  <si>
    <t>Jacquie</t>
  </si>
  <si>
    <t>Dean</t>
  </si>
  <si>
    <t>Operations Manager</t>
  </si>
  <si>
    <t>jacquie@catalinaimaging.com</t>
  </si>
  <si>
    <t>Julie Millan</t>
  </si>
  <si>
    <t>www.catalinaimaging.com</t>
  </si>
  <si>
    <t>Catalina Imaging, Inc.</t>
  </si>
  <si>
    <t>Catalina Imaging, Inc. CT35</t>
  </si>
  <si>
    <t>PO Box 1546</t>
  </si>
  <si>
    <t>Catalina Imaging, Inc. CT42</t>
  </si>
  <si>
    <t>Catalina Imaging, Inc. CT45</t>
  </si>
  <si>
    <t>CDI Grand Rapids, LLC @ Grand Itasca Hospital</t>
  </si>
  <si>
    <t>GRAND RAPIDS</t>
  </si>
  <si>
    <t>1601 Golf Course Road</t>
  </si>
  <si>
    <t>www.rayasradiology.com</t>
  </si>
  <si>
    <t>CDI Grand Rapids, LLC (CDI No. MN, Grand Itasca Hosp, Deer River HCare Ctr, Rad Assoc of Duluth)</t>
  </si>
  <si>
    <t>Grand Itasca Clinic &amp; Hospital</t>
  </si>
  <si>
    <t>09/29/2026</t>
  </si>
  <si>
    <t>Center for Clinical Imaging Research</t>
  </si>
  <si>
    <t>2021 Sixth Street SE</t>
  </si>
  <si>
    <t>Joanne</t>
  </si>
  <si>
    <t>Johnson</t>
  </si>
  <si>
    <t>jjohnson24@umphysicians.umn.edu</t>
  </si>
  <si>
    <t>Megan</t>
  </si>
  <si>
    <t>Leland</t>
  </si>
  <si>
    <t>mleland10@umphysicians.umn.edu</t>
  </si>
  <si>
    <t>Clinic Director</t>
  </si>
  <si>
    <t>ccir@umn.edu</t>
  </si>
  <si>
    <t>University of Minnesota Physicians</t>
  </si>
  <si>
    <t>M Health Fairview</t>
  </si>
  <si>
    <t>07/13/2027</t>
  </si>
  <si>
    <t>03/15/2027</t>
  </si>
  <si>
    <t>06/24/2026</t>
  </si>
  <si>
    <t>Center for Diagnostic Imaging - Blaine</t>
  </si>
  <si>
    <t>2305 108th Lane NE</t>
  </si>
  <si>
    <t>EVP, Phycician Practices</t>
  </si>
  <si>
    <t>01/10/2026</t>
  </si>
  <si>
    <t>10/13/2027</t>
  </si>
  <si>
    <t>Center for Diagnostic Imaging - Burnsville</t>
  </si>
  <si>
    <t>BURNSVILLE</t>
  </si>
  <si>
    <t>675 Nicollet Boulevard East</t>
  </si>
  <si>
    <t>10/13/2024</t>
  </si>
  <si>
    <t>08/21/2024</t>
  </si>
  <si>
    <t>Center for Diagnostic Imaging - Coon Rapids</t>
  </si>
  <si>
    <t>COON RAPIDS</t>
  </si>
  <si>
    <t>3833 Coon Rapids Boulevard NW</t>
  </si>
  <si>
    <t>Suite 120</t>
  </si>
  <si>
    <t>01/29/2025</t>
  </si>
  <si>
    <t>12/11/2024</t>
  </si>
  <si>
    <t>Center for Diagnostic Imaging - Eden Prairie</t>
  </si>
  <si>
    <t>Suite 260</t>
  </si>
  <si>
    <t>08/21/2025</t>
  </si>
  <si>
    <t>10/24/2024</t>
  </si>
  <si>
    <t>Center for Diagnostic Imaging - Lakeville</t>
  </si>
  <si>
    <t>10438 185th Street West</t>
  </si>
  <si>
    <t>10/22/2027</t>
  </si>
  <si>
    <t>04/26/2027</t>
  </si>
  <si>
    <t>Center for Diagnostic Imaging - Maplewood</t>
  </si>
  <si>
    <t>1790 Beam Avenue</t>
  </si>
  <si>
    <t>09/30/2027</t>
  </si>
  <si>
    <t>10/24/2027</t>
  </si>
  <si>
    <t>Center for Diagnostic Imaging - Plymouth</t>
  </si>
  <si>
    <t>PLYMOUTH</t>
  </si>
  <si>
    <t>15700 37th Avenue North</t>
  </si>
  <si>
    <t>01/13/2027</t>
  </si>
  <si>
    <t>02/02/2027</t>
  </si>
  <si>
    <t>Center for Diagnostic Imaging - Roseville</t>
  </si>
  <si>
    <t>ROSEVILLE</t>
  </si>
  <si>
    <t>1835 County Road C West</t>
  </si>
  <si>
    <t>Suite 180</t>
  </si>
  <si>
    <t>05/24/2025</t>
  </si>
  <si>
    <t>04/01/2025</t>
  </si>
  <si>
    <t>Center for Diagnostic Imaging - St. Cloud</t>
  </si>
  <si>
    <t>251 County Road 120</t>
  </si>
  <si>
    <t>EVP, Operations</t>
  </si>
  <si>
    <t>06/22/2027</t>
  </si>
  <si>
    <t>06/06/2026</t>
  </si>
  <si>
    <t>Center for Diagnostic Imaging - Woodbury Cornerstone</t>
  </si>
  <si>
    <t>6025 Lake Road</t>
  </si>
  <si>
    <t>Suite 130</t>
  </si>
  <si>
    <t>02/17/2027</t>
  </si>
  <si>
    <t>01/12/2024</t>
  </si>
  <si>
    <t>02/04/2027</t>
  </si>
  <si>
    <t>01/24/2027</t>
  </si>
  <si>
    <t>Center for Specialty Care</t>
  </si>
  <si>
    <t>FAIRMONT</t>
  </si>
  <si>
    <t>717 South State Street</t>
  </si>
  <si>
    <t>Suite 900</t>
  </si>
  <si>
    <t>MARTIN</t>
  </si>
  <si>
    <t>Lynn</t>
  </si>
  <si>
    <t>Thompson</t>
  </si>
  <si>
    <t>lynnt@centerforspecialtycare.com</t>
  </si>
  <si>
    <t>Kayla</t>
  </si>
  <si>
    <t>Olson</t>
  </si>
  <si>
    <t>Radiology Manager</t>
  </si>
  <si>
    <t>kaylaa@centerforspecialtycare.com</t>
  </si>
  <si>
    <t>www.centerforspecialtycare.com</t>
  </si>
  <si>
    <t>09/30/2025</t>
  </si>
  <si>
    <t>Centracare Clinic - Sartell Clinic</t>
  </si>
  <si>
    <t>Blair</t>
  </si>
  <si>
    <t>Headley</t>
  </si>
  <si>
    <t>Director Family Medicine Medical roup</t>
  </si>
  <si>
    <t>blair.headley@centracare.com</t>
  </si>
  <si>
    <t>Patty Zapf</t>
  </si>
  <si>
    <t>Joe</t>
  </si>
  <si>
    <t>Klaers</t>
  </si>
  <si>
    <t>Director, Imaging Services</t>
  </si>
  <si>
    <t>Centracare Health</t>
  </si>
  <si>
    <t>joseph.klaers@centracare.com</t>
  </si>
  <si>
    <t>1406 Sixth Avenue</t>
  </si>
  <si>
    <t>Central Imaging LLC, dba Alliance Imaging</t>
  </si>
  <si>
    <t>3351 Roosevelt Road</t>
  </si>
  <si>
    <t>Matthew</t>
  </si>
  <si>
    <t>Kunkel</t>
  </si>
  <si>
    <t>Board of Governor's Chair</t>
  </si>
  <si>
    <t>matthew.kunkel@centracare.com</t>
  </si>
  <si>
    <t>Joe Klaers</t>
  </si>
  <si>
    <t>Holly</t>
  </si>
  <si>
    <t>Tegels</t>
  </si>
  <si>
    <t>Director Corporate Compliance and Imaging Services</t>
  </si>
  <si>
    <t>holly.tegels@allianceimagingmn.com</t>
  </si>
  <si>
    <t>Hondl</t>
  </si>
  <si>
    <t>Vice Chair</t>
  </si>
  <si>
    <t>mhondl@rdradiology.com</t>
  </si>
  <si>
    <t>Treasurer</t>
  </si>
  <si>
    <t>www.allianceimagingmn.com</t>
  </si>
  <si>
    <t>Medical Billing and Management Services, LLP</t>
  </si>
  <si>
    <t>10/22/2024</t>
  </si>
  <si>
    <t>Central Minnesota Diagnostic, Inc - Mobile Interim CT</t>
  </si>
  <si>
    <t>MILACA</t>
  </si>
  <si>
    <t>525 Tenth Street NE</t>
  </si>
  <si>
    <t>MILLE LACS</t>
  </si>
  <si>
    <t>PO Box 158</t>
  </si>
  <si>
    <t>Chad</t>
  </si>
  <si>
    <t>Cooper</t>
  </si>
  <si>
    <t>President</t>
  </si>
  <si>
    <t>chad.cooper@cmdi.org</t>
  </si>
  <si>
    <t>Caity</t>
  </si>
  <si>
    <t>Eggen</t>
  </si>
  <si>
    <t>Vice President of Operations</t>
  </si>
  <si>
    <t>Central Minnesota Diagnostic, Inc.</t>
  </si>
  <si>
    <t>caity.eggen@cmdi.org</t>
  </si>
  <si>
    <t>525 10th Street NE</t>
  </si>
  <si>
    <t>www.cmdi.org</t>
  </si>
  <si>
    <t>Central Minnesota Diagnostic, Inc</t>
  </si>
  <si>
    <t>Central Minnesota Diagnostic, Inc - Mobile MRI Route A</t>
  </si>
  <si>
    <t>Central Minnesota Diagnostic, Inc - Mobile MRI Route B</t>
  </si>
  <si>
    <t>Central Minnesota Diagnostic, Inc @ Appleton Area Health</t>
  </si>
  <si>
    <t>APPLETON</t>
  </si>
  <si>
    <t>30 South Behl Street</t>
  </si>
  <si>
    <t>SWIFT</t>
  </si>
  <si>
    <t>Central Minnesota Diagnostic, Inc @ Avera Granite Falls</t>
  </si>
  <si>
    <t>GRANITE FALLS</t>
  </si>
  <si>
    <t>345 Tenth Avenue</t>
  </si>
  <si>
    <t>YELLOW MEDICINE</t>
  </si>
  <si>
    <t>Central Minnesota Diagnostic, Inc @ Bigfork Valley Hospital</t>
  </si>
  <si>
    <t>BIGFORK</t>
  </si>
  <si>
    <t>258 Pinetree Drive</t>
  </si>
  <si>
    <t>ITASCA</t>
  </si>
  <si>
    <t>Central Minnesota Diagnostic, Inc @ Carris Health - Redwood</t>
  </si>
  <si>
    <t>REDWOOD FALLS</t>
  </si>
  <si>
    <t>100 Fallwood Road</t>
  </si>
  <si>
    <t>REDWOOD</t>
  </si>
  <si>
    <t>Central Minnesota Diagnostic, Inc @ CCM Health</t>
  </si>
  <si>
    <t>MONTEVIDEO</t>
  </si>
  <si>
    <t>824 11th Street North</t>
  </si>
  <si>
    <t>CHIPPEWA</t>
  </si>
  <si>
    <t>Central Minnesota Diagnostic, Inc @ CentraCare Health - Long Prairie</t>
  </si>
  <si>
    <t>LONG PRAIRIE</t>
  </si>
  <si>
    <t>20 Ninth Street Southeast</t>
  </si>
  <si>
    <t>TODD</t>
  </si>
  <si>
    <t>Central Minnesota Diagnostic, Inc @ CentraCare Health - Melrose</t>
  </si>
  <si>
    <t>MELROSE</t>
  </si>
  <si>
    <t>11 North Fifth Avenue West</t>
  </si>
  <si>
    <t>Central Minnesota Diagnostic, Inc @ CentraCare Health - Monticello</t>
  </si>
  <si>
    <t>MONTICELLO</t>
  </si>
  <si>
    <t>1013 Hart Boulevard</t>
  </si>
  <si>
    <t>WRIGHT</t>
  </si>
  <si>
    <t>Central Minnesota Diagnostic, Inc @ CentraCare Health - Paynesville</t>
  </si>
  <si>
    <t>PAYNESVILLE</t>
  </si>
  <si>
    <t>200 West First Street</t>
  </si>
  <si>
    <t>Central Minnesota Diagnostic, Inc @ CentraCare Health - Sauk Centre</t>
  </si>
  <si>
    <t>SAUK CENTRE</t>
  </si>
  <si>
    <t>425 North Elm Street</t>
  </si>
  <si>
    <t>Central Minnesota Diagnostic, Inc @ CHI St. Francis Health</t>
  </si>
  <si>
    <t>BRECKENRIDGE</t>
  </si>
  <si>
    <t>2400 St. Francis Drive</t>
  </si>
  <si>
    <t>WILKIN</t>
  </si>
  <si>
    <t>Central Minnesota Diagnostic, Inc @ CHI St. Joseph's Health</t>
  </si>
  <si>
    <t>PARK RAPIDS</t>
  </si>
  <si>
    <t>600 Pleasant Avenue</t>
  </si>
  <si>
    <t>HUBBARD</t>
  </si>
  <si>
    <t>Central Minnesota Diagnostic, Inc @ Community Memorial Hospital</t>
  </si>
  <si>
    <t>CLOQUET</t>
  </si>
  <si>
    <t>512 Skyline Boulevard</t>
  </si>
  <si>
    <t>CARLTON</t>
  </si>
  <si>
    <t>Central Minnesota Diagnostic, Inc @ Cook Hospital &amp; Care Center</t>
  </si>
  <si>
    <t>COOK</t>
  </si>
  <si>
    <t>10 Fifth Street SE</t>
  </si>
  <si>
    <t>Central Minnesota Diagnostic, Inc @ Cuyuna Regional Medical Center</t>
  </si>
  <si>
    <t>CROSBY</t>
  </si>
  <si>
    <t>320 East Main Street</t>
  </si>
  <si>
    <t>Central Minnesota Diagnostic, Inc @ Ely-Bloomenson Community Hospital</t>
  </si>
  <si>
    <t>ELY</t>
  </si>
  <si>
    <t>328 West Conan Street</t>
  </si>
  <si>
    <t>Central Minnesota Diagnostic, Inc @ Essentia Health - Deer River</t>
  </si>
  <si>
    <t>DEER RIVER</t>
  </si>
  <si>
    <t>1002 Comstock Drive</t>
  </si>
  <si>
    <t>Central Minnesota Diagnostic, Inc @ Essentia Health Northern Pines</t>
  </si>
  <si>
    <t>AURORA</t>
  </si>
  <si>
    <t>5211 Highway 110</t>
  </si>
  <si>
    <t xml:space="preserve">Central Minnesota Diagnostic, Inc @ Essentia Health St. Mary's </t>
  </si>
  <si>
    <t>DETROIT LAKES</t>
  </si>
  <si>
    <t>1027 Washington Avenue</t>
  </si>
  <si>
    <t>BECKER</t>
  </si>
  <si>
    <t>Central Minnesota Diagnostic, Inc @ Fairview University Medical Center - Mesabi</t>
  </si>
  <si>
    <t>HIBBING</t>
  </si>
  <si>
    <t>750 East 34th Street</t>
  </si>
  <si>
    <t>Central Minnesota Diagnostic, Inc @ Glacial Ridge Health System</t>
  </si>
  <si>
    <t>GLENWOOD</t>
  </si>
  <si>
    <t>10 Fourth Avenue SE</t>
  </si>
  <si>
    <t>POPE</t>
  </si>
  <si>
    <t>Central Minnesota Diagnostic, Inc @ Hutchinson Health</t>
  </si>
  <si>
    <t>HUTCHINSON</t>
  </si>
  <si>
    <t xml:space="preserve">1095 Highway 15 South </t>
  </si>
  <si>
    <t>MCLEOD</t>
  </si>
  <si>
    <t>Central Minnesota Diagnostic, Inc @ Kittson Memorial Healthcare Center</t>
  </si>
  <si>
    <t>HALLOCK</t>
  </si>
  <si>
    <t>1010 South Birch Avenue</t>
  </si>
  <si>
    <t>KITTSON</t>
  </si>
  <si>
    <t>Central Minnesota Diagnostic, Inc @ Lakewood Health System</t>
  </si>
  <si>
    <t>STAPLES</t>
  </si>
  <si>
    <t>49725 County Road 83</t>
  </si>
  <si>
    <t>Central Minnesota Diagnostic, Inc @ LifeCare Medical Center</t>
  </si>
  <si>
    <t>ROSEAU</t>
  </si>
  <si>
    <t>715 Delmore Drive</t>
  </si>
  <si>
    <t>Central Minnesota Diagnostic, Inc @ M Health Fairview Lakes Medical Center</t>
  </si>
  <si>
    <t>WYOMING</t>
  </si>
  <si>
    <t>5200 Fairview Boulevard</t>
  </si>
  <si>
    <t>CHISAGO</t>
  </si>
  <si>
    <t>Central Minnesota Diagnostic, Inc @ M Health Fairview Northland Medical Center</t>
  </si>
  <si>
    <t>PRINCETON</t>
  </si>
  <si>
    <t>911 Northland Drive</t>
  </si>
  <si>
    <t>SHERBURNE</t>
  </si>
  <si>
    <t>Central Minnesota Diagnostic, Inc @ Madison Hospital</t>
  </si>
  <si>
    <t>MADISON</t>
  </si>
  <si>
    <t>900 Second Avenue</t>
  </si>
  <si>
    <t>LAC QUI PARLE</t>
  </si>
  <si>
    <t>Central Minnesota Diagnostic, Inc @ Mahnomen Health Center</t>
  </si>
  <si>
    <t>MAHNOMEN</t>
  </si>
  <si>
    <t>414 West Jefferson</t>
  </si>
  <si>
    <t>Central Minnesota Diagnostic, Inc @ Meeker Memorial Hospital</t>
  </si>
  <si>
    <t>LITCHFIELD</t>
  </si>
  <si>
    <t>612 South Sibley Avenue</t>
  </si>
  <si>
    <t>MEEKER</t>
  </si>
  <si>
    <t>Central Minnesota Diagnostic, Inc @ Mercy Hospital</t>
  </si>
  <si>
    <t>MOOSE LAKE</t>
  </si>
  <si>
    <t>710 South Kenwood Avenue</t>
  </si>
  <si>
    <t>Central Minnesota Diagnostic, Inc @ Mille Lacs Health System</t>
  </si>
  <si>
    <t>ONAMIA</t>
  </si>
  <si>
    <t>200 North Elm Street, Box A</t>
  </si>
  <si>
    <t>Central Minnesota Diagnostic, Inc @ Olmsted Medical Center</t>
  </si>
  <si>
    <t>ROCHESTER</t>
  </si>
  <si>
    <t>1650 Fourth Street Southeast</t>
  </si>
  <si>
    <t>OLMSTED</t>
  </si>
  <si>
    <t>Central Minnesota Diagnostic, Inc @ Ortonville Area Health Services</t>
  </si>
  <si>
    <t>ORTONVILLE</t>
  </si>
  <si>
    <t>450 Eastvold Avenue</t>
  </si>
  <si>
    <t>BIG STONE</t>
  </si>
  <si>
    <t>Central Minnesota Diagnostic, Inc @ Perham Health</t>
  </si>
  <si>
    <t>PERHAM</t>
  </si>
  <si>
    <t>665 Third Street SW</t>
  </si>
  <si>
    <t>OTTER TAIL</t>
  </si>
  <si>
    <t>Central Minnesota Diagnostic, Inc @ Pipestone County Medical Center</t>
  </si>
  <si>
    <t>PIPESTONE</t>
  </si>
  <si>
    <t>916 Fourth Avenue SW</t>
  </si>
  <si>
    <t>Central Minnesota Diagnostic, Inc @ Rainy Lake Medical Center</t>
  </si>
  <si>
    <t>INTERNATIONAL FALLS</t>
  </si>
  <si>
    <t>1400 Highway 71</t>
  </si>
  <si>
    <t>KOOCHICHING</t>
  </si>
  <si>
    <t>Central Minnesota Diagnostic, Inc @ Ridgeview Sibley Medical Center</t>
  </si>
  <si>
    <t>ARLINGTON</t>
  </si>
  <si>
    <t>601 West Chandler Street</t>
  </si>
  <si>
    <t>SIBLEY</t>
  </si>
  <si>
    <t>Central Minnesota Diagnostic, Inc @ River's Edge Hospital &amp; Clinic</t>
  </si>
  <si>
    <t>ST. PETER</t>
  </si>
  <si>
    <t xml:space="preserve">1900 North Sunrise Drive </t>
  </si>
  <si>
    <t>NICOLLET</t>
  </si>
  <si>
    <t>Central Minnesota Diagnostic, Inc @ RiverView Health</t>
  </si>
  <si>
    <t>323 South Minnesota Street</t>
  </si>
  <si>
    <t>Central Minnesota Diagnostic, Inc @ Riverwood HealthCare Center</t>
  </si>
  <si>
    <t>AITKIN</t>
  </si>
  <si>
    <t>200 Bunker Hill Drive</t>
  </si>
  <si>
    <t>Central Minnesota Diagnostic, Inc @ Sanford Bagley Medical Center</t>
  </si>
  <si>
    <t>BAGLEY</t>
  </si>
  <si>
    <t>203 Fourth Street NW</t>
  </si>
  <si>
    <t>CLEARWATER</t>
  </si>
  <si>
    <t>Central Minnesota Diagnostic, Inc @ Sanford Wheaton Medical Center</t>
  </si>
  <si>
    <t>WHEATON</t>
  </si>
  <si>
    <t>401 12th Street North</t>
  </si>
  <si>
    <t>TRAVERSE</t>
  </si>
  <si>
    <t>Central Minnesota Diagnostic, Inc @ Sleepy Eye Medical Center</t>
  </si>
  <si>
    <t>SLEEPY EYE</t>
  </si>
  <si>
    <t>400 Fourth Avenue Northwest</t>
  </si>
  <si>
    <t>BROWN</t>
  </si>
  <si>
    <t>Central Minnesota Diagnostic, Inc @ St. Gabriel's Hospital</t>
  </si>
  <si>
    <t>LITTLE FALLS</t>
  </si>
  <si>
    <t>815 Second Street Southeast</t>
  </si>
  <si>
    <t>MORRISON</t>
  </si>
  <si>
    <t>Central Minnesota Diagnostic, Inc @ Swift County-Benson Health Services</t>
  </si>
  <si>
    <t>BENSON</t>
  </si>
  <si>
    <t>1815 Wisconsin Avenue</t>
  </si>
  <si>
    <t>Central Minnesota Diagnostic, Inc @ Tri-County Health Care</t>
  </si>
  <si>
    <t>WADENA</t>
  </si>
  <si>
    <t>415 North Jefferson Street</t>
  </si>
  <si>
    <t>Central Minnesota Diagnostic, Inc @ United Hospital District</t>
  </si>
  <si>
    <t>BLUE EARTH</t>
  </si>
  <si>
    <t>515 South Moore Street</t>
  </si>
  <si>
    <t>FARIBAULT</t>
  </si>
  <si>
    <t>Central Minnesota Diagnostic, Inc @ Welia Health</t>
  </si>
  <si>
    <t>MORA</t>
  </si>
  <si>
    <t>301 South Highway 65</t>
  </si>
  <si>
    <t>KANABEC</t>
  </si>
  <si>
    <t>Central Minnesota Diagnostic, Inc @ Welia Health - Pine City Clinic</t>
  </si>
  <si>
    <t>PINE CITY</t>
  </si>
  <si>
    <t>1425 Main Street North</t>
  </si>
  <si>
    <t>PINE</t>
  </si>
  <si>
    <t>Centrasota Oral &amp; Maxillofacial Surgeons - Alexandria</t>
  </si>
  <si>
    <t>2633 Jefferson Street</t>
  </si>
  <si>
    <t>Suite 602</t>
  </si>
  <si>
    <t>3950 Veterans Drive</t>
  </si>
  <si>
    <t>Molly</t>
  </si>
  <si>
    <t>Kamrowski</t>
  </si>
  <si>
    <t>Surgical Operations Supervisor</t>
  </si>
  <si>
    <t>mollyk@centrasotaoms.com</t>
  </si>
  <si>
    <t>Eric A Stine, DDS, MS</t>
  </si>
  <si>
    <t>Witte</t>
  </si>
  <si>
    <t>Finance Coordinator</t>
  </si>
  <si>
    <t>Centrasota Oral &amp; Maxillofacial Surgeons</t>
  </si>
  <si>
    <t>jwitte@centrasotaoms.com</t>
  </si>
  <si>
    <t>Barb</t>
  </si>
  <si>
    <t>Pederson</t>
  </si>
  <si>
    <t>CLDA</t>
  </si>
  <si>
    <t>admin@centrasotaoms.com</t>
  </si>
  <si>
    <t>www.centrasotaoms.com</t>
  </si>
  <si>
    <t>Centrasota Oral &amp; Maxillofacial Surgeons - Hutchinson</t>
  </si>
  <si>
    <t>1015 Highway 15 South</t>
  </si>
  <si>
    <t>Plaza 15 Shopping Center</t>
  </si>
  <si>
    <t>Earic A Stine</t>
  </si>
  <si>
    <t>www.centrasotaoma.com</t>
  </si>
  <si>
    <t>Centrasota Oral &amp; Maxillofacial Surgeons - Monticello</t>
  </si>
  <si>
    <t>3880 Deegan Court</t>
  </si>
  <si>
    <t>Centrasota Oral &amp; Maxillofacial Surgeons - Sartell</t>
  </si>
  <si>
    <t>SARTELL</t>
  </si>
  <si>
    <t>531 Pine Cone Road North</t>
  </si>
  <si>
    <t>Centrasota Oral &amp; Maxillofacial Surgeons - St. Cloud</t>
  </si>
  <si>
    <t>Children's Healthcare Services Inc. DBA Children's - Minnetonka</t>
  </si>
  <si>
    <t>6050 Clearwater Drive</t>
  </si>
  <si>
    <t>Jim</t>
  </si>
  <si>
    <t>Leste</t>
  </si>
  <si>
    <t>VP of Operations</t>
  </si>
  <si>
    <t>jim.leste@childrensmn.org</t>
  </si>
  <si>
    <t>Brenda McCormick</t>
  </si>
  <si>
    <t>Elham</t>
  </si>
  <si>
    <t>Ibrahim</t>
  </si>
  <si>
    <t>Financial Analyst</t>
  </si>
  <si>
    <t>elham.ibrahim@childrensmn.org</t>
  </si>
  <si>
    <t>5901 Lincoln Drive</t>
  </si>
  <si>
    <t>Sara</t>
  </si>
  <si>
    <t>Radiology Site Manager</t>
  </si>
  <si>
    <t>sara.johnson@childrensmn.org</t>
  </si>
  <si>
    <t>www.childrensmn.org</t>
  </si>
  <si>
    <t>Children's Hospitals and Clinics MN</t>
  </si>
  <si>
    <t>08/15/2026</t>
  </si>
  <si>
    <t>Community MRI Services, LLC</t>
  </si>
  <si>
    <t>1252 Washington Avenue</t>
  </si>
  <si>
    <t>Patrick</t>
  </si>
  <si>
    <t>Krueger</t>
  </si>
  <si>
    <t>pkrueger@imagingsolutionsinc.com</t>
  </si>
  <si>
    <t>Cathy</t>
  </si>
  <si>
    <t>Callier</t>
  </si>
  <si>
    <t>Manager Clinical Imagng Services</t>
  </si>
  <si>
    <t>Imaging Solutions, Inc.</t>
  </si>
  <si>
    <t>ccaillier@imagingsolutionsinc.com</t>
  </si>
  <si>
    <t>5257 27th Street South</t>
  </si>
  <si>
    <t>Suite 101</t>
  </si>
  <si>
    <t>FARGO</t>
  </si>
  <si>
    <t>CASS</t>
  </si>
  <si>
    <t>Lisa</t>
  </si>
  <si>
    <t>Nelson</t>
  </si>
  <si>
    <t>CFO</t>
  </si>
  <si>
    <t>Imaging Solutions</t>
  </si>
  <si>
    <t>lnelson@imagingsolutionsinc.com</t>
  </si>
  <si>
    <t>www.imagingsolutionsinc.com</t>
  </si>
  <si>
    <t>07/16/2026</t>
  </si>
  <si>
    <t>CRMC - Baxter Clinic</t>
  </si>
  <si>
    <t>13205 Isle Drive</t>
  </si>
  <si>
    <t>Amy</t>
  </si>
  <si>
    <t>Hart</t>
  </si>
  <si>
    <t>amy.hart@cuyunamed.org</t>
  </si>
  <si>
    <t>Katie Berg</t>
  </si>
  <si>
    <t>Dale</t>
  </si>
  <si>
    <t>VanHorn</t>
  </si>
  <si>
    <t>Director of Radiology</t>
  </si>
  <si>
    <t>dale.vanhorn@cuyunamed.org</t>
  </si>
  <si>
    <t>wwww.cuyunamed.org</t>
  </si>
  <si>
    <t>02/19/2027</t>
  </si>
  <si>
    <t>Cube Mobile - MRI 01</t>
  </si>
  <si>
    <t>HOLT</t>
  </si>
  <si>
    <t>1845 Cedar Street</t>
  </si>
  <si>
    <t>MI</t>
  </si>
  <si>
    <t>Elizabeth</t>
  </si>
  <si>
    <t>Comeaux</t>
  </si>
  <si>
    <t>Financial Controller</t>
  </si>
  <si>
    <t>Cube Mobile Imaging, LLC</t>
  </si>
  <si>
    <t>elizabeth.comeaux@cubeimaging.com</t>
  </si>
  <si>
    <t>Matt</t>
  </si>
  <si>
    <t>Bushart</t>
  </si>
  <si>
    <t>Project Manager</t>
  </si>
  <si>
    <t>Cube Mobile Imaging</t>
  </si>
  <si>
    <t>matt.bushart@cubeimaging.com</t>
  </si>
  <si>
    <t>www.blockimaging.com</t>
  </si>
  <si>
    <t>Cube Mobile - MRI 02</t>
  </si>
  <si>
    <t>DMS Imaging - CT099</t>
  </si>
  <si>
    <t>WEST FARGO</t>
  </si>
  <si>
    <t>728 East Beaton Drive</t>
  </si>
  <si>
    <t>larry.gabbert@dmshealth.com</t>
  </si>
  <si>
    <t>Larry Gabbert</t>
  </si>
  <si>
    <t>Larry</t>
  </si>
  <si>
    <t>Gabbert</t>
  </si>
  <si>
    <t>DMS Health Technologies</t>
  </si>
  <si>
    <t>www.dmshealth.com</t>
  </si>
  <si>
    <t>DMS Imaging - CT102</t>
  </si>
  <si>
    <t>DMS Imaging - CT108</t>
  </si>
  <si>
    <t>DMS Imaging - CT111</t>
  </si>
  <si>
    <t>08/18/2021</t>
  </si>
  <si>
    <t>DMS Imaging - CT112</t>
  </si>
  <si>
    <t>DMS Imaging - MR086</t>
  </si>
  <si>
    <t>DMS Imaging - MR102</t>
  </si>
  <si>
    <t>DMS Imaging - MR113</t>
  </si>
  <si>
    <t>DMS Imaging - MR118</t>
  </si>
  <si>
    <t>DMS Imaging - MR119</t>
  </si>
  <si>
    <t>DMS Imaging - MR120</t>
  </si>
  <si>
    <t>DMS Imaging - MR121</t>
  </si>
  <si>
    <t>DMS Imaging - MR139</t>
  </si>
  <si>
    <t>DMS Imaging - MR140</t>
  </si>
  <si>
    <t>DMS Imaging - MR141</t>
  </si>
  <si>
    <t>DMS Imaging - MR143</t>
  </si>
  <si>
    <t>DMS Imaging - MR144</t>
  </si>
  <si>
    <t>DMS Imaging - MR146</t>
  </si>
  <si>
    <t>DMS Imaging - MR147</t>
  </si>
  <si>
    <t>DMS Imaging - MR148</t>
  </si>
  <si>
    <t>DMS Imaging - MR153</t>
  </si>
  <si>
    <t>DMS Imaging - MR157</t>
  </si>
  <si>
    <t>DMS Imaging - MR159</t>
  </si>
  <si>
    <t>DMS Imaging - MR165</t>
  </si>
  <si>
    <t>DMS Imaging - MR167</t>
  </si>
  <si>
    <t>DMS Imaging - NM054</t>
  </si>
  <si>
    <t>DMS Imaging - NM055</t>
  </si>
  <si>
    <t>DMS Imaging - NM066</t>
  </si>
  <si>
    <t>DMS Imaging - NM071</t>
  </si>
  <si>
    <t>DMS Imaging - NM075</t>
  </si>
  <si>
    <t>DMS Imaging - NM076</t>
  </si>
  <si>
    <t>DMS Imaging - NM080</t>
  </si>
  <si>
    <t>DMS Imaging - NM081</t>
  </si>
  <si>
    <t>DMS Imaging - NM082</t>
  </si>
  <si>
    <t>DMS Imaging - NM084</t>
  </si>
  <si>
    <t>DMS Imaging - NM085</t>
  </si>
  <si>
    <t>DMS Imaging - PC007</t>
  </si>
  <si>
    <t>DMS Imaging - PC015</t>
  </si>
  <si>
    <t>DMS Imaging - PC022</t>
  </si>
  <si>
    <t>DMS Imaging - PC023</t>
  </si>
  <si>
    <t>DMS Imaging - PC027</t>
  </si>
  <si>
    <t>DMS Imaging - PC039</t>
  </si>
  <si>
    <t>DMS Imaging - PC040</t>
  </si>
  <si>
    <t>DMS Imaging - PC042</t>
  </si>
  <si>
    <t>DMS Interim CT - (Catalina Imaging - CT)</t>
  </si>
  <si>
    <t>DMS Interim CT - (Shared Medical Services - CT)</t>
  </si>
  <si>
    <t>DMS Interim MRI - (Shared Medical Services - MRI)</t>
  </si>
  <si>
    <t xml:space="preserve">DMS Interim MRI - (Transcend Imaging - MRI) </t>
  </si>
  <si>
    <t>DMS Interim PC - (Shared Medical Services - PC)</t>
  </si>
  <si>
    <t>Duluth Imaging, LLC</t>
  </si>
  <si>
    <t>910 East Second Street</t>
  </si>
  <si>
    <t>St. Luke's Hospital, Duluth</t>
  </si>
  <si>
    <t>12/20/2026</t>
  </si>
  <si>
    <t>Ear, Nose &amp; Throat Specialty Care - Burnsville</t>
  </si>
  <si>
    <t>14101 Fairview Drive</t>
  </si>
  <si>
    <t>Suite 340</t>
  </si>
  <si>
    <t>Richard</t>
  </si>
  <si>
    <t>Belin</t>
  </si>
  <si>
    <t>Clinic Administrator</t>
  </si>
  <si>
    <t>rbelin@entsc.com</t>
  </si>
  <si>
    <t>Robert D. Silver, MD</t>
  </si>
  <si>
    <t>Ear, Nose &amp; Throat Speciality Care</t>
  </si>
  <si>
    <t>6099 Wayzata Boulevard</t>
  </si>
  <si>
    <t>Colleen</t>
  </si>
  <si>
    <t>Jason</t>
  </si>
  <si>
    <t>Credentialing Specialist</t>
  </si>
  <si>
    <t>Ear, Nose &amp; Throat Speciality Care - Minneapolis</t>
  </si>
  <si>
    <t>admin@entsc.com</t>
  </si>
  <si>
    <t>Jade</t>
  </si>
  <si>
    <t>Murray</t>
  </si>
  <si>
    <t>Former Radiation Safety Officer Delegate</t>
  </si>
  <si>
    <t>jmurray@entsc.com</t>
  </si>
  <si>
    <t>www.entsc.com</t>
  </si>
  <si>
    <t>Ear Nose &amp; Throat Specialty Care</t>
  </si>
  <si>
    <t>Ear, Nose &amp; Throat Specialty Care - Minneapolis</t>
  </si>
  <si>
    <t>Nathan Johnson, M.D.</t>
  </si>
  <si>
    <t>12/31/2026</t>
  </si>
  <si>
    <t>Essentia Health Grand Rapids Clinic</t>
  </si>
  <si>
    <t>1542 Golf Course Road</t>
  </si>
  <si>
    <t>Suite 203</t>
  </si>
  <si>
    <t>Amanda</t>
  </si>
  <si>
    <t>Reed</t>
  </si>
  <si>
    <t>amanda.reed@essentiahealth.org</t>
  </si>
  <si>
    <t>Kevin Boren</t>
  </si>
  <si>
    <t>Abram</t>
  </si>
  <si>
    <t>Latvala</t>
  </si>
  <si>
    <t>abram.latvala@essentiahealth.org</t>
  </si>
  <si>
    <t>Essentia Health</t>
  </si>
  <si>
    <t>01/16/2027</t>
  </si>
  <si>
    <t>Essentia Health Hibbing Clinic</t>
  </si>
  <si>
    <t>730 East 34th Street</t>
  </si>
  <si>
    <t>Karlene</t>
  </si>
  <si>
    <t>Madill</t>
  </si>
  <si>
    <t>Senior Director</t>
  </si>
  <si>
    <t>james.helms@essentiahealth.org</t>
  </si>
  <si>
    <t>Beth</t>
  </si>
  <si>
    <t>Debeltz</t>
  </si>
  <si>
    <t>beth.debeltz@essentiahealth.org</t>
  </si>
  <si>
    <t>10/04/2023</t>
  </si>
  <si>
    <t>07/23/2024</t>
  </si>
  <si>
    <t>Essentia Health International Falls Clinic</t>
  </si>
  <si>
    <t>2501 Keenan Drive</t>
  </si>
  <si>
    <t>Rob</t>
  </si>
  <si>
    <t>Davenport</t>
  </si>
  <si>
    <t>Clinic Operations Manager</t>
  </si>
  <si>
    <t>rob.davenport@essentiahealth.org</t>
  </si>
  <si>
    <t>901 North Ninth Street</t>
  </si>
  <si>
    <t>VIRGINIA</t>
  </si>
  <si>
    <t>Essentia Health Lakes Imaging</t>
  </si>
  <si>
    <t>BRAINERD</t>
  </si>
  <si>
    <t>2019 South Sixth Street</t>
  </si>
  <si>
    <t>Janelle</t>
  </si>
  <si>
    <t>Mienert</t>
  </si>
  <si>
    <t>Diagnostic Imaging Manager</t>
  </si>
  <si>
    <t>janelle.mienert@essentiahealth.org</t>
  </si>
  <si>
    <t>09/14/2027</t>
  </si>
  <si>
    <t>Essentia Health Park Rapids Hwy 34 Clinic</t>
  </si>
  <si>
    <t>1103 First Street East</t>
  </si>
  <si>
    <t>Tanner</t>
  </si>
  <si>
    <t>Goodrich</t>
  </si>
  <si>
    <t>tanner.goodrich@essentiahealth.org</t>
  </si>
  <si>
    <t>Doug Arvin</t>
  </si>
  <si>
    <t>Deb</t>
  </si>
  <si>
    <t>Gunderson</t>
  </si>
  <si>
    <t>Senior Business Partner</t>
  </si>
  <si>
    <t>deb.gunderson@essentiahealth.org</t>
  </si>
  <si>
    <t>www.essentiahealth.org</t>
  </si>
  <si>
    <t>02/05/2027</t>
  </si>
  <si>
    <t>Fairview Blaine Clinic</t>
  </si>
  <si>
    <t>10961 Club West Parkway NE</t>
  </si>
  <si>
    <t>Deborah</t>
  </si>
  <si>
    <t>Hollerich</t>
  </si>
  <si>
    <t>dholler1@fairview.org</t>
  </si>
  <si>
    <t>Joe Gaylord</t>
  </si>
  <si>
    <t>Joseph</t>
  </si>
  <si>
    <t>Drummond</t>
  </si>
  <si>
    <t>Sr. Government Reimbursement Analyst I</t>
  </si>
  <si>
    <t>Fairview Health Services</t>
  </si>
  <si>
    <t>joseph.drummond@fairview.org</t>
  </si>
  <si>
    <t>1700 University Avenue West</t>
  </si>
  <si>
    <t>Director of Business Services</t>
  </si>
  <si>
    <t>deborah.hollerich@fairview.org</t>
  </si>
  <si>
    <t>Diane</t>
  </si>
  <si>
    <t>Del Santro</t>
  </si>
  <si>
    <t>Manager Government Reimbursement</t>
  </si>
  <si>
    <t>diane.delsantro@fairview.org</t>
  </si>
  <si>
    <t>Henry</t>
  </si>
  <si>
    <t>VP Imaging Services System</t>
  </si>
  <si>
    <t>matthew.henry@fairview.org</t>
  </si>
  <si>
    <t>www.fairview.org/clinics/primary/c_563010.asp</t>
  </si>
  <si>
    <t>12/09/2026</t>
  </si>
  <si>
    <t>08/14/2027</t>
  </si>
  <si>
    <t>Fairview Maple Grove Medical Center</t>
  </si>
  <si>
    <t>14500 - 99th Avenue North</t>
  </si>
  <si>
    <t>14500 99th Avenue North</t>
  </si>
  <si>
    <t>Attn: Joanne Johnson</t>
  </si>
  <si>
    <t>Director of Imaging Services</t>
  </si>
  <si>
    <t>Senior Government Analyst</t>
  </si>
  <si>
    <t>www.fairview.org</t>
  </si>
  <si>
    <t>06/26/2026</t>
  </si>
  <si>
    <t>12/11/2027</t>
  </si>
  <si>
    <t>07/05/2025</t>
  </si>
  <si>
    <t>12/30/2024</t>
  </si>
  <si>
    <t>Gundersen Winona Campus</t>
  </si>
  <si>
    <t>WINONA</t>
  </si>
  <si>
    <t>1122 West Highway 61</t>
  </si>
  <si>
    <t>Rachel</t>
  </si>
  <si>
    <t>Albrecht</t>
  </si>
  <si>
    <t>Vice President</t>
  </si>
  <si>
    <t>raalbrec@gundersenhealth.org</t>
  </si>
  <si>
    <t>John Ceelan</t>
  </si>
  <si>
    <t>Chuck</t>
  </si>
  <si>
    <t>Clinical Operations Director</t>
  </si>
  <si>
    <t>cljohnso@gundersenhealth.org</t>
  </si>
  <si>
    <t>Lindsay</t>
  </si>
  <si>
    <t>Styx</t>
  </si>
  <si>
    <t>Clinical Manager, Winona Campus</t>
  </si>
  <si>
    <t>lpstyx@gundersenhealth.org</t>
  </si>
  <si>
    <t>Sarah</t>
  </si>
  <si>
    <t>Melde</t>
  </si>
  <si>
    <t>Manager, Continuous Readiness</t>
  </si>
  <si>
    <t>skmelde@gundersenhealth.org</t>
  </si>
  <si>
    <t>www.gundersenhealth.org</t>
  </si>
  <si>
    <t>Gundersen Lutheran Medical Center</t>
  </si>
  <si>
    <t>12/03/2025</t>
  </si>
  <si>
    <t>iCare Diagnostic Imaging, LLC</t>
  </si>
  <si>
    <t>BROOKLYN CENTER</t>
  </si>
  <si>
    <t>2781 Freeway Boulevard</t>
  </si>
  <si>
    <t>Suite 160</t>
  </si>
  <si>
    <t>Stadther</t>
  </si>
  <si>
    <t>DC</t>
  </si>
  <si>
    <t>jason_stadther@yahoo.com</t>
  </si>
  <si>
    <t>i-Health Collaborative - Vascular Interventional Experts - Edina</t>
  </si>
  <si>
    <t>4100 Minnesota Drive</t>
  </si>
  <si>
    <t>Suite 310</t>
  </si>
  <si>
    <t>Abbigail</t>
  </si>
  <si>
    <t>Pitra</t>
  </si>
  <si>
    <t>Lead Technologist</t>
  </si>
  <si>
    <t>abbigailpetra@viemn.com</t>
  </si>
  <si>
    <t>Jay Hempe</t>
  </si>
  <si>
    <t>Petra</t>
  </si>
  <si>
    <t>abbigailpitra@viemn.com</t>
  </si>
  <si>
    <t>Jay</t>
  </si>
  <si>
    <t>Hempe</t>
  </si>
  <si>
    <t>Chief Financial Officer</t>
  </si>
  <si>
    <t>Revo Health</t>
  </si>
  <si>
    <t>4200 Dahlberg Drive</t>
  </si>
  <si>
    <t>GOLDEN VALLEY</t>
  </si>
  <si>
    <t>www.viemn.com</t>
  </si>
  <si>
    <t>Infinite Health Collaborative - Vascular &amp; Interventional Experts</t>
  </si>
  <si>
    <t>07/31/2024</t>
  </si>
  <si>
    <t>i-Health Collaborative - Vascular Interventional Experts - Woodbury</t>
  </si>
  <si>
    <t>237 Radio Drive</t>
  </si>
  <si>
    <t>Suite 220</t>
  </si>
  <si>
    <t>Imaging Center of Maple Grove</t>
  </si>
  <si>
    <t>9855 Hospital Drive</t>
  </si>
  <si>
    <t>Troy</t>
  </si>
  <si>
    <t>Roovers</t>
  </si>
  <si>
    <t>Chief Manager</t>
  </si>
  <si>
    <t>troovers@mplsrad.com</t>
  </si>
  <si>
    <t>Joan Stone</t>
  </si>
  <si>
    <t>Angie</t>
  </si>
  <si>
    <t>Beckius</t>
  </si>
  <si>
    <t>Accounting Manager</t>
  </si>
  <si>
    <t>Medical Business Services</t>
  </si>
  <si>
    <t>abeckius@mplsrad.com</t>
  </si>
  <si>
    <t>2955 Xenium Lane</t>
  </si>
  <si>
    <t>Suite 40</t>
  </si>
  <si>
    <t>Joan</t>
  </si>
  <si>
    <t>Stone</t>
  </si>
  <si>
    <t>jstone@mplsrad.com</t>
  </si>
  <si>
    <t>www.mplsrad.com</t>
  </si>
  <si>
    <t>West Imaging</t>
  </si>
  <si>
    <t>North Memorial Health Care</t>
  </si>
  <si>
    <t>08/13/2025</t>
  </si>
  <si>
    <t>03/24/2025</t>
  </si>
  <si>
    <t>Imaging Center of Plymouth</t>
  </si>
  <si>
    <t>2800 Campus Drive</t>
  </si>
  <si>
    <t>Suite 30</t>
  </si>
  <si>
    <t>Senior Accountant</t>
  </si>
  <si>
    <t>2955 Xenium Lane North</t>
  </si>
  <si>
    <t>02/14/2027</t>
  </si>
  <si>
    <t>02/23/2027</t>
  </si>
  <si>
    <t>Imaging Solutions, Inc. - Mobile MRI</t>
  </si>
  <si>
    <t>Kramlich</t>
  </si>
  <si>
    <t>mkramlich@imagingsolutionsinc.com</t>
  </si>
  <si>
    <t>Lisa Nelson</t>
  </si>
  <si>
    <t>Caillier</t>
  </si>
  <si>
    <t>Inspired Spine Health - Burnsville</t>
  </si>
  <si>
    <t>1601 Highway 13 East</t>
  </si>
  <si>
    <t>Hanson</t>
  </si>
  <si>
    <t>SVP/Practice Administrator</t>
  </si>
  <si>
    <t>svp@inspiredspinehealth.com</t>
  </si>
  <si>
    <t>Misha Ye</t>
  </si>
  <si>
    <t>Krista</t>
  </si>
  <si>
    <t>Stockert</t>
  </si>
  <si>
    <t>Tristate Brain and Spine Institute</t>
  </si>
  <si>
    <t>credentialing@inspiredspinehealth.com</t>
  </si>
  <si>
    <t>6600 State Hwy 29 South</t>
  </si>
  <si>
    <t>www.inspiredspine.com</t>
  </si>
  <si>
    <t>Inspired Spine</t>
  </si>
  <si>
    <t>09/19/2025</t>
  </si>
  <si>
    <t>Interim Diagnostic Imaging, LLC - MRI-1</t>
  </si>
  <si>
    <t>4960 Yuma Court North</t>
  </si>
  <si>
    <t>Behrns</t>
  </si>
  <si>
    <t>lynn.behrns@interimdiagnostics.com</t>
  </si>
  <si>
    <t>Interim Diagnostic Imaging, LLC</t>
  </si>
  <si>
    <t>www.interimdiagnostic.com</t>
  </si>
  <si>
    <t>Interventional Pain &amp; Physical Medicine Clinic</t>
  </si>
  <si>
    <t>2301 Connecticut Avenue South</t>
  </si>
  <si>
    <t>2301 Connecticut Avenue</t>
  </si>
  <si>
    <t>Stacy</t>
  </si>
  <si>
    <t>Kowalkowski</t>
  </si>
  <si>
    <t>stacy@ippmc.com</t>
  </si>
  <si>
    <t>Scheiber</t>
  </si>
  <si>
    <t>Executive Assistant</t>
  </si>
  <si>
    <t>amanda.scheiber@ippmc.com</t>
  </si>
  <si>
    <t>www.ippmc.com</t>
  </si>
  <si>
    <t>Janning ENT Center</t>
  </si>
  <si>
    <t>1801 19th Avenue SW</t>
  </si>
  <si>
    <t>Heidi</t>
  </si>
  <si>
    <t>Graves</t>
  </si>
  <si>
    <t>heidi@janningentcenter.com</t>
  </si>
  <si>
    <t>Heidi Graves</t>
  </si>
  <si>
    <t>www.janningentcenter.com</t>
  </si>
  <si>
    <t>Johnson Spinal Care Associates, PA - Apple Valley</t>
  </si>
  <si>
    <t>14859 Energy Way</t>
  </si>
  <si>
    <t>Norris</t>
  </si>
  <si>
    <t>beth@johnsonspinalcare.com</t>
  </si>
  <si>
    <t>Lisa Johnson</t>
  </si>
  <si>
    <t>Johnson Spinal Care Associates, PA</t>
  </si>
  <si>
    <t>Administrator/CFO</t>
  </si>
  <si>
    <t>lisa@johnsonspinalcare.com</t>
  </si>
  <si>
    <t>www.johnsonspinalcare.com</t>
  </si>
  <si>
    <t>02/09/2025</t>
  </si>
  <si>
    <t>Johnson Spinal Care Associates, PA - Savage</t>
  </si>
  <si>
    <t>SAVAGE</t>
  </si>
  <si>
    <t>8678 Eagle Creek Circle</t>
  </si>
  <si>
    <t>SCOTT</t>
  </si>
  <si>
    <t>Christopher</t>
  </si>
  <si>
    <t>Whitney</t>
  </si>
  <si>
    <t>Doctor/Clinic Director</t>
  </si>
  <si>
    <t>drwhitney@johnsonspinalcare.com</t>
  </si>
  <si>
    <t>Kings Medical Group (CT)</t>
  </si>
  <si>
    <t>RICHFIELD</t>
  </si>
  <si>
    <t>4125 Highlander Parkway</t>
  </si>
  <si>
    <t>SUMMIT</t>
  </si>
  <si>
    <t>Kyer</t>
  </si>
  <si>
    <t>Operations Administrator</t>
  </si>
  <si>
    <t>jkyer@kingsmedical.com</t>
  </si>
  <si>
    <t>Kimberly Jacobs, CEO</t>
  </si>
  <si>
    <t>Kings Medical Group</t>
  </si>
  <si>
    <t>Kimberly</t>
  </si>
  <si>
    <t>Jacobs</t>
  </si>
  <si>
    <t>kimberly.jacobs@kingsmedical.com</t>
  </si>
  <si>
    <t>www.kingsmedical.com</t>
  </si>
  <si>
    <t>King's Medical</t>
  </si>
  <si>
    <t>Kings Medical Group (MRI)</t>
  </si>
  <si>
    <t>Lakeview Clinic, Ltd.</t>
  </si>
  <si>
    <t>WACONIA</t>
  </si>
  <si>
    <t>424 State Highway 5 West</t>
  </si>
  <si>
    <t>CARVER</t>
  </si>
  <si>
    <t>Tracy</t>
  </si>
  <si>
    <t>Rheineck</t>
  </si>
  <si>
    <t>trheineck@lakeviewclinic.com</t>
  </si>
  <si>
    <t>Heather</t>
  </si>
  <si>
    <t>Ott</t>
  </si>
  <si>
    <t>hott@lakeviewclinic.com</t>
  </si>
  <si>
    <t>Heisel</t>
  </si>
  <si>
    <t>Director of Quality &amp; Compliance</t>
  </si>
  <si>
    <t>theisel@lakeviewclinic.com</t>
  </si>
  <si>
    <t>www.lakeviewclinic.com</t>
  </si>
  <si>
    <t>11/02/2025</t>
  </si>
  <si>
    <t>LifeScan Minnesota</t>
  </si>
  <si>
    <t>6545 France Avenue South</t>
  </si>
  <si>
    <t>Suite 115</t>
  </si>
  <si>
    <t>Mark</t>
  </si>
  <si>
    <t>Martin</t>
  </si>
  <si>
    <t>COO</t>
  </si>
  <si>
    <t>Blake Darsow</t>
  </si>
  <si>
    <t>Streier</t>
  </si>
  <si>
    <t>Midwest Physician Services</t>
  </si>
  <si>
    <t>heather.streier@midwestradiology.com</t>
  </si>
  <si>
    <t>2355 Highway 36</t>
  </si>
  <si>
    <t>www.midwestreadiology.com</t>
  </si>
  <si>
    <t>Midwest Radiology</t>
  </si>
  <si>
    <t>03/20/2024</t>
  </si>
  <si>
    <t>05/10/2024</t>
  </si>
  <si>
    <t>Magnetic Resonance Imaging Services Partnership (MRSP)</t>
  </si>
  <si>
    <t>MASON CITY</t>
  </si>
  <si>
    <t>1420 Fourth Street SW</t>
  </si>
  <si>
    <t>IA</t>
  </si>
  <si>
    <t>Carol</t>
  </si>
  <si>
    <t>Kelley</t>
  </si>
  <si>
    <t>ckelley@radiologistsni.com</t>
  </si>
  <si>
    <t>Ann Morse</t>
  </si>
  <si>
    <t>09/17/2025</t>
  </si>
  <si>
    <t>Mankato Clinic</t>
  </si>
  <si>
    <t>MANKATO</t>
  </si>
  <si>
    <t>1230 East Main Street</t>
  </si>
  <si>
    <t>PO Box 8674</t>
  </si>
  <si>
    <t>Randall</t>
  </si>
  <si>
    <t>Farrow</t>
  </si>
  <si>
    <t>randyf@mankatoclinic.com</t>
  </si>
  <si>
    <t>Steve Hatkin</t>
  </si>
  <si>
    <t>Coty</t>
  </si>
  <si>
    <t>Bruneder</t>
  </si>
  <si>
    <t>cotyb@mankato-clinic.com</t>
  </si>
  <si>
    <t>Peggy</t>
  </si>
  <si>
    <t>Julian</t>
  </si>
  <si>
    <t>Director of Finance</t>
  </si>
  <si>
    <t>peggyj@mankato-clinic.com</t>
  </si>
  <si>
    <t>www.mankato-clinic.com</t>
  </si>
  <si>
    <t>Mankato Clinic Ltd.</t>
  </si>
  <si>
    <t>03/22/2027</t>
  </si>
  <si>
    <t>10/02/2026</t>
  </si>
  <si>
    <t>12/08/2026</t>
  </si>
  <si>
    <t>Mankato Clinic - Wickersham Health Campus</t>
  </si>
  <si>
    <t>1421 Premier Drive</t>
  </si>
  <si>
    <t>04/11/2025</t>
  </si>
  <si>
    <t>Mayo Clinic - CHARLTON BLDG</t>
  </si>
  <si>
    <t xml:space="preserve">10 Third Avenue NW </t>
  </si>
  <si>
    <t>200 First Street SW</t>
  </si>
  <si>
    <t>Eric</t>
  </si>
  <si>
    <t>Reeve</t>
  </si>
  <si>
    <t>Administrator - Radiology</t>
  </si>
  <si>
    <t>eric.reeve@mayo.edu</t>
  </si>
  <si>
    <t>Dennis Dahlen</t>
  </si>
  <si>
    <t>Dylan</t>
  </si>
  <si>
    <t>Soberg</t>
  </si>
  <si>
    <t>Mayo Clinic / Foundation</t>
  </si>
  <si>
    <t>soberg.dylan@mayo.edu</t>
  </si>
  <si>
    <t>Jerome</t>
  </si>
  <si>
    <t>Taubel</t>
  </si>
  <si>
    <t>Asset Administrator</t>
  </si>
  <si>
    <t>taubel.jerome@mayo.edu</t>
  </si>
  <si>
    <t>www.mayoclinic.com</t>
  </si>
  <si>
    <t>Mayo Clinic</t>
  </si>
  <si>
    <t>05/02/2025</t>
  </si>
  <si>
    <t>12/21/2023</t>
  </si>
  <si>
    <t>07/07/2026</t>
  </si>
  <si>
    <t>05/22/2024</t>
  </si>
  <si>
    <t>Mayo Clinic - GONDA BLDG</t>
  </si>
  <si>
    <t xml:space="preserve">100 Third Avenue SW </t>
  </si>
  <si>
    <t>03/19/2025</t>
  </si>
  <si>
    <t>09/20/2025</t>
  </si>
  <si>
    <t>Mayo Clinic - JACOBSON BLDG</t>
  </si>
  <si>
    <t>190 Second Street NW</t>
  </si>
  <si>
    <t>Mayo Clinic - MAYO BLDG</t>
  </si>
  <si>
    <t>Mayo Clinic - MAYO CLINIC SQUARE</t>
  </si>
  <si>
    <t>600 Hennepin Avenue</t>
  </si>
  <si>
    <t>03/07/2025</t>
  </si>
  <si>
    <t>Mayo Clinic Health System - Owatonna</t>
  </si>
  <si>
    <t>OWATONNA</t>
  </si>
  <si>
    <t>2200 26th Street NW</t>
  </si>
  <si>
    <t>STEELE</t>
  </si>
  <si>
    <t>Rau</t>
  </si>
  <si>
    <t>Regional Director Radiology</t>
  </si>
  <si>
    <t>rau.matthew@mayo.edu</t>
  </si>
  <si>
    <t>Rick Miller</t>
  </si>
  <si>
    <t>Tim</t>
  </si>
  <si>
    <t>Anderson</t>
  </si>
  <si>
    <t>Financial Analyst III</t>
  </si>
  <si>
    <t>anderson.timothy2@mayo.edu</t>
  </si>
  <si>
    <t>www.owatonnaclinic.com</t>
  </si>
  <si>
    <t>06/21/2026</t>
  </si>
  <si>
    <t>10/23/2026</t>
  </si>
  <si>
    <t>02/25/2026</t>
  </si>
  <si>
    <t>Mayo Clinic Health System Mankato Madison East Health Center</t>
  </si>
  <si>
    <t>1400 Madison Avenue</t>
  </si>
  <si>
    <t>Suite 100B</t>
  </si>
  <si>
    <t>Travis</t>
  </si>
  <si>
    <t>Paul</t>
  </si>
  <si>
    <t>Chair of Administration</t>
  </si>
  <si>
    <t>paul.travis@mayo.edu</t>
  </si>
  <si>
    <t>VanEps</t>
  </si>
  <si>
    <t>SWMN Regional Radiology Director</t>
  </si>
  <si>
    <t>Mayo Clinic Mankato</t>
  </si>
  <si>
    <t>vaneps.jill@mayo.edu</t>
  </si>
  <si>
    <t>1025 Marsh Street</t>
  </si>
  <si>
    <t>07/15/2025</t>
  </si>
  <si>
    <t>06/29/2025</t>
  </si>
  <si>
    <t>06/28/2025</t>
  </si>
  <si>
    <t>Midwest Radiology Outpatient Imaging Burnsville</t>
  </si>
  <si>
    <t>14000 Nicollet Avenue South</t>
  </si>
  <si>
    <t>Suite 204</t>
  </si>
  <si>
    <t>www.midwestradiology.com</t>
  </si>
  <si>
    <t>04/17/2026</t>
  </si>
  <si>
    <t>Midwest Radiology Outpatient Imaging St. Paul</t>
  </si>
  <si>
    <t>250 Thompson Street</t>
  </si>
  <si>
    <t>250 Thomson Street</t>
  </si>
  <si>
    <t>07/30/2025</t>
  </si>
  <si>
    <t>08/18/2025</t>
  </si>
  <si>
    <t>02/07/2026</t>
  </si>
  <si>
    <t>Minneapolis Clinic of Neurology, Ltd - Burnsville</t>
  </si>
  <si>
    <t>501 East Nicollet Boulevard</t>
  </si>
  <si>
    <t>4225 Golden Valley Road</t>
  </si>
  <si>
    <t>Kurt</t>
  </si>
  <si>
    <t>Neil</t>
  </si>
  <si>
    <t>Executive Director</t>
  </si>
  <si>
    <t>kurt.neil@mpls-clinic.com</t>
  </si>
  <si>
    <t>Brent Hansen</t>
  </si>
  <si>
    <t>Nagel</t>
  </si>
  <si>
    <t>Minneapolis Clinic of Neurology, Ltd</t>
  </si>
  <si>
    <t>beth.nagel@mpls-clinic.com</t>
  </si>
  <si>
    <t>www.minneapolisclinic.com</t>
  </si>
  <si>
    <t>01/23/2024</t>
  </si>
  <si>
    <t>Minneapolis Clinic of Neurology, Ltd - Golden Valley</t>
  </si>
  <si>
    <t>Minneapolis Clinic of Neurology, Ltd - Golden Valley (MRI 1)</t>
  </si>
  <si>
    <t>Minneapolis Clinic of Neurology, Ltd - Golden Valley (MRI 2)</t>
  </si>
  <si>
    <t>Minnesota Oncology Hematology - Maple Grove</t>
  </si>
  <si>
    <t>10150 Niagara Lane North</t>
  </si>
  <si>
    <t>Adams</t>
  </si>
  <si>
    <t>kelly.adams@usoncology.com</t>
  </si>
  <si>
    <t>BJ Miller</t>
  </si>
  <si>
    <t>Todd</t>
  </si>
  <si>
    <t>Heggen</t>
  </si>
  <si>
    <t>Staff Accountant</t>
  </si>
  <si>
    <t>Minnesota Oncology Hematology</t>
  </si>
  <si>
    <t>todd.heggen@usoncology.com</t>
  </si>
  <si>
    <t>2550 University Avenue West</t>
  </si>
  <si>
    <t>Suite 110 N</t>
  </si>
  <si>
    <t>B.J.</t>
  </si>
  <si>
    <t>Miller</t>
  </si>
  <si>
    <t>www.mnoncology.com</t>
  </si>
  <si>
    <t>US Oncology</t>
  </si>
  <si>
    <t>07/19/2026</t>
  </si>
  <si>
    <t>08/11/2026</t>
  </si>
  <si>
    <t>Minnesota Oncology Hematology - Maplewood</t>
  </si>
  <si>
    <t>1580 Beam Avenue</t>
  </si>
  <si>
    <t>Amber</t>
  </si>
  <si>
    <t>Saros</t>
  </si>
  <si>
    <t>Practice Manager</t>
  </si>
  <si>
    <t>amber.saros@usoncology.com</t>
  </si>
  <si>
    <t>www.minnesotaoncology.com</t>
  </si>
  <si>
    <t>03/17/2027</t>
  </si>
  <si>
    <t>03/31/2027</t>
  </si>
  <si>
    <t>Minnesota Urology, P.A. - Brooklyn Park</t>
  </si>
  <si>
    <t>BROOKLYN PARK</t>
  </si>
  <si>
    <t>6001 96th Lane North</t>
  </si>
  <si>
    <t>Suite 250</t>
  </si>
  <si>
    <t>VanQuest</t>
  </si>
  <si>
    <t>VP Imaging Services</t>
  </si>
  <si>
    <t>Minnesota Urology, P.A.</t>
  </si>
  <si>
    <t>natalie.vanquest@partnersimaging.net</t>
  </si>
  <si>
    <t>7500 France Avenue South</t>
  </si>
  <si>
    <t>Minnesota Urology, P.A. - Edina</t>
  </si>
  <si>
    <t>Mark Andrican</t>
  </si>
  <si>
    <t>04/30/2024</t>
  </si>
  <si>
    <t>Minnesota Urology, P.A. - Woodbury</t>
  </si>
  <si>
    <t xml:space="preserve">Suite 200 </t>
  </si>
  <si>
    <t>Minnetonka Imaging MRI</t>
  </si>
  <si>
    <t>4610 Oak Grove Parkway North</t>
  </si>
  <si>
    <t>7600 Parklawn Avenue</t>
  </si>
  <si>
    <t>Suite 358</t>
  </si>
  <si>
    <t>Carlos</t>
  </si>
  <si>
    <t>Rivera</t>
  </si>
  <si>
    <t>DC/President</t>
  </si>
  <si>
    <t>carlos@riverachiropracticcenter.com</t>
  </si>
  <si>
    <t>Dr. Carlos Rivera</t>
  </si>
  <si>
    <t>www.minnetonkaimagingmri.com</t>
  </si>
  <si>
    <t>Mobile Imaging Services @ Allina Medical Clinic - Northfield (Minneapolis Heart Institute)</t>
  </si>
  <si>
    <t>Suite 500</t>
  </si>
  <si>
    <t>Tom</t>
  </si>
  <si>
    <t>Bania</t>
  </si>
  <si>
    <t>tom.bania@crlmed.com</t>
  </si>
  <si>
    <t>Charles Engmark</t>
  </si>
  <si>
    <t>Jeff</t>
  </si>
  <si>
    <t>Voss</t>
  </si>
  <si>
    <t>Controller</t>
  </si>
  <si>
    <t>Consulting Radiologists, Ltd</t>
  </si>
  <si>
    <t>jeff.voss@crlmed.com</t>
  </si>
  <si>
    <t>7595 Anagram Drive</t>
  </si>
  <si>
    <t>Consulting Radiologists, Ltd.</t>
  </si>
  <si>
    <t>Mobile Imaging Services @ District One Hospital (Minneapolis Heart Institute)</t>
  </si>
  <si>
    <t>200 State Avenue</t>
  </si>
  <si>
    <t>Mobile Imaging Services @ Glencoe Regional Health Services (Minneapolis Heart Institute)</t>
  </si>
  <si>
    <t>GLENCOE</t>
  </si>
  <si>
    <t>1805 Hennepin Avenue North</t>
  </si>
  <si>
    <t>Mobile Imaging Services @ New Ulm Medical Center (Minneapolis Heart Institute)</t>
  </si>
  <si>
    <t>NEW ULM</t>
  </si>
  <si>
    <t>1324 Fifth Street North</t>
  </si>
  <si>
    <t>Noran Neurological Clinic, PA</t>
  </si>
  <si>
    <t>11091 Ulysses Street NE</t>
  </si>
  <si>
    <t>3601 Minnesota Drive</t>
  </si>
  <si>
    <t>BLOOMINGTON</t>
  </si>
  <si>
    <t>Brad</t>
  </si>
  <si>
    <t>Montgomery</t>
  </si>
  <si>
    <t>bmontgomery@noranclinic.com</t>
  </si>
  <si>
    <t>Troy McCulloch</t>
  </si>
  <si>
    <t>McCulloch</t>
  </si>
  <si>
    <t>tmcculloch@noranclinic.com</t>
  </si>
  <si>
    <t>Suzanne</t>
  </si>
  <si>
    <t>Lehn</t>
  </si>
  <si>
    <t>Noran Neurological Clinic, P.A.</t>
  </si>
  <si>
    <t>slehn@noranclinic.com</t>
  </si>
  <si>
    <t>www.noranclinic.com</t>
  </si>
  <si>
    <t>02/03/2025</t>
  </si>
  <si>
    <t>LAKE ELMO</t>
  </si>
  <si>
    <t>8515 Eagle Point Boulevard</t>
  </si>
  <si>
    <t>10/02/2024</t>
  </si>
  <si>
    <t>North Memorial Medical Clinic - Blaine</t>
  </si>
  <si>
    <t>4181 108th Avenue NE</t>
  </si>
  <si>
    <t>Mary Beth</t>
  </si>
  <si>
    <t>McDonald</t>
  </si>
  <si>
    <t>Chief Operating Officer</t>
  </si>
  <si>
    <t>marybeth.mcdonald@northmemorial.com</t>
  </si>
  <si>
    <t>Dave Albright</t>
  </si>
  <si>
    <t>Richter</t>
  </si>
  <si>
    <t>Regulatory Reimbursement Manager</t>
  </si>
  <si>
    <t>North Memorial Health</t>
  </si>
  <si>
    <t>jeff.richter@northmemorial.com</t>
  </si>
  <si>
    <t>3366 Oakdale Avenue North</t>
  </si>
  <si>
    <t>ROBBINSDALE</t>
  </si>
  <si>
    <t>Rusinak</t>
  </si>
  <si>
    <t>Director, Payor Contracting &amp; Network Management</t>
  </si>
  <si>
    <t>jason.rusinak@northmemorial.com</t>
  </si>
  <si>
    <t>www.northmemorial.com</t>
  </si>
  <si>
    <t>08/29/2026</t>
  </si>
  <si>
    <t>North Memorial Medical Clinic - Minnetonka</t>
  </si>
  <si>
    <t>15450 Highway 7</t>
  </si>
  <si>
    <t>10/28/2025</t>
  </si>
  <si>
    <t>NWHSU - Sweere Clinic</t>
  </si>
  <si>
    <t>2501 West 84th Street</t>
  </si>
  <si>
    <t>Michael</t>
  </si>
  <si>
    <t>Tennison</t>
  </si>
  <si>
    <t>VP Clinic &amp; Retail Administration</t>
  </si>
  <si>
    <t>mtennison@nwhealth.edu</t>
  </si>
  <si>
    <t>Michelle Hegarty</t>
  </si>
  <si>
    <t>Mendenhall, MS, DC</t>
  </si>
  <si>
    <t>Radiation Safety Officer</t>
  </si>
  <si>
    <t>NWHSU</t>
  </si>
  <si>
    <t>hmendenhall@nwhealth.edu</t>
  </si>
  <si>
    <t>www.nwhealth.edu</t>
  </si>
  <si>
    <t>08/31/2024</t>
  </si>
  <si>
    <t>Oakdale Ear, Nose &amp; Throat Clinic - Maple Grove</t>
  </si>
  <si>
    <t>9825 Hospital Drive</t>
  </si>
  <si>
    <t>Marya</t>
  </si>
  <si>
    <t>Lydeen</t>
  </si>
  <si>
    <t>mlydeen@oakdaleent.com</t>
  </si>
  <si>
    <t>Oakdale Ear, Nose &amp; Throat Clinic</t>
  </si>
  <si>
    <t>Erickson</t>
  </si>
  <si>
    <t>Business Operations Supervisior</t>
  </si>
  <si>
    <t>aerickson@oakdaleent.com</t>
  </si>
  <si>
    <t>www.oakdaleent.com</t>
  </si>
  <si>
    <t>Oakdale Ear, Nose, &amp; Throat Clinic</t>
  </si>
  <si>
    <t>Oakdale Ear, Nose &amp; Throat Clinic - Robbinsdale</t>
  </si>
  <si>
    <t>Oral &amp; Max. Surgical Consultants, PA - Chanhassen</t>
  </si>
  <si>
    <t>CHANHASSEN</t>
  </si>
  <si>
    <t>7770 Dell Road</t>
  </si>
  <si>
    <t>Ashley</t>
  </si>
  <si>
    <t>Wick</t>
  </si>
  <si>
    <t>Clinical Administrative Manager</t>
  </si>
  <si>
    <t>ashleyw@omscmn.com</t>
  </si>
  <si>
    <t>Oral &amp; Max. Surgical Consultants, P.A.</t>
  </si>
  <si>
    <t>7373 France Avenue South</t>
  </si>
  <si>
    <t>Gary</t>
  </si>
  <si>
    <t>Meuwissen</t>
  </si>
  <si>
    <t>CPA</t>
  </si>
  <si>
    <t>Gary Meuwissen CPA</t>
  </si>
  <si>
    <t>gary@cpamw.com</t>
  </si>
  <si>
    <t>PO Box 213</t>
  </si>
  <si>
    <t>www.omscmn.com</t>
  </si>
  <si>
    <t>Oral &amp; Max. Surgical Consultants, PA - Edina</t>
  </si>
  <si>
    <t>Oral &amp; Max. Surgical Consultants, PA - Savage</t>
  </si>
  <si>
    <t>6350 143rd Street</t>
  </si>
  <si>
    <t>Suite 206</t>
  </si>
  <si>
    <t>Oral &amp; Max. Surgical Consultants, PA - Wayzata</t>
  </si>
  <si>
    <t>WAYZATA</t>
  </si>
  <si>
    <t>250 Central Avenue North</t>
  </si>
  <si>
    <t>Suite 126</t>
  </si>
  <si>
    <t>Oral &amp; Maxillofacial Surgery Associates - Bemidji</t>
  </si>
  <si>
    <t>BEMIDJI</t>
  </si>
  <si>
    <t>3201 Pine Ridge Avenue NW</t>
  </si>
  <si>
    <t>BELTRAMI</t>
  </si>
  <si>
    <t>3201 Pine Ridge Avenue</t>
  </si>
  <si>
    <t>Jon</t>
  </si>
  <si>
    <t>Kraemer</t>
  </si>
  <si>
    <t>Office Manager</t>
  </si>
  <si>
    <t>jon.kraemer@omsamn.com</t>
  </si>
  <si>
    <t>John Foss</t>
  </si>
  <si>
    <t>Oral &amp; Maxillofacial Surgery Associates, Ltd</t>
  </si>
  <si>
    <t>1903 Sixth Street South</t>
  </si>
  <si>
    <t>Suite 4</t>
  </si>
  <si>
    <t>www.omsabrainerd.com</t>
  </si>
  <si>
    <t>Oral and Maxillofacial Surgery Associates, Ltd</t>
  </si>
  <si>
    <t>Oral &amp; Maxillofacial Surgery Associates - Brainerd</t>
  </si>
  <si>
    <t>jon.kraemeroms@brainerd.net</t>
  </si>
  <si>
    <t>Oral &amp; Maxillofacial Surgery Associates, Ltd. - Detroit Lakes</t>
  </si>
  <si>
    <t>1225 Washington Avenue</t>
  </si>
  <si>
    <t>Orthopaedic Associates of Duluth, PA</t>
  </si>
  <si>
    <t>1000 East First Street</t>
  </si>
  <si>
    <t>Sheila</t>
  </si>
  <si>
    <t>Hawk</t>
  </si>
  <si>
    <t>sheila.hawk@slhduluth.com</t>
  </si>
  <si>
    <t>Peter Goldschmidt, President</t>
  </si>
  <si>
    <t>Jenny</t>
  </si>
  <si>
    <t>Koczur</t>
  </si>
  <si>
    <t>Staff Technologist</t>
  </si>
  <si>
    <t>www.oaduluth.com</t>
  </si>
  <si>
    <t>Otolaryngology, Head &amp; Neck Surgery, P.A. DBA Midwest Ear, Nose &amp; Throat Specialists - Woodbury</t>
  </si>
  <si>
    <t>217 Radio Drive</t>
  </si>
  <si>
    <t>Partridge</t>
  </si>
  <si>
    <t>CT Technical Director</t>
  </si>
  <si>
    <t>jpartridge@mwent.net</t>
  </si>
  <si>
    <t>Eric Becken, MD</t>
  </si>
  <si>
    <t>Otolaryngology, Head &amp; Neck Surgery, P.A.</t>
  </si>
  <si>
    <t>Karlen</t>
  </si>
  <si>
    <t>Medical Director/RSO</t>
  </si>
  <si>
    <t>rkarlen@mwent.net</t>
  </si>
  <si>
    <t>215 Radio Drive</t>
  </si>
  <si>
    <t>Suite 202</t>
  </si>
  <si>
    <t>www.mwent.net</t>
  </si>
  <si>
    <t>Otolaryngology, Head &amp; Neck Surgery, PA DBA Midwest Ear, Nose, and Throat - Eagan</t>
  </si>
  <si>
    <t>3460 Promenade Avenue</t>
  </si>
  <si>
    <t>Otolaryngology, Head &amp; Neck Surgery, PA DBA Midwest Ear, Nose, and Throat - Vadnais Heights</t>
  </si>
  <si>
    <t>3590 Arcade Street</t>
  </si>
  <si>
    <t>Park Nicollet Clinic  Burnsville</t>
  </si>
  <si>
    <t>14000 Fairview Drive</t>
  </si>
  <si>
    <t>Laura</t>
  </si>
  <si>
    <t>Loberg</t>
  </si>
  <si>
    <t>VP Surgical Specialties</t>
  </si>
  <si>
    <t>laura.loberg@parknicollet.com</t>
  </si>
  <si>
    <t>Tricia Dege</t>
  </si>
  <si>
    <t>Boder</t>
  </si>
  <si>
    <t>Radiology Business Operations Analyst</t>
  </si>
  <si>
    <t>Park Nicollet Clinic</t>
  </si>
  <si>
    <t>boderj@parknicollet.com</t>
  </si>
  <si>
    <t>6500 Excelsior Boulevard</t>
  </si>
  <si>
    <t>Coffey</t>
  </si>
  <si>
    <t>Radiology Director</t>
  </si>
  <si>
    <t>kelly.coffey@parknicollet.com</t>
  </si>
  <si>
    <t>Taylor</t>
  </si>
  <si>
    <t>Antisdel</t>
  </si>
  <si>
    <t>taylor.antisdel@parknicollet.com</t>
  </si>
  <si>
    <t>Patricia</t>
  </si>
  <si>
    <t>Harris</t>
  </si>
  <si>
    <t>Sr. Accountant</t>
  </si>
  <si>
    <t>Park Nicollet Health Services</t>
  </si>
  <si>
    <t>patricia.harris@parknicollet.com</t>
  </si>
  <si>
    <t>5050 Excelsior Boulevard</t>
  </si>
  <si>
    <t>03/14/2026</t>
  </si>
  <si>
    <t>05/10/2026</t>
  </si>
  <si>
    <t>Park Nicollet Clinic  Maple Grove</t>
  </si>
  <si>
    <t>9555 Upland Lane North</t>
  </si>
  <si>
    <t>05/07/2024</t>
  </si>
  <si>
    <t>02/15/2026</t>
  </si>
  <si>
    <t>Park Nicollet Clinic  St. Louis Park</t>
  </si>
  <si>
    <t>4951 Excelsior Boulevard</t>
  </si>
  <si>
    <t>02/16/2027</t>
  </si>
  <si>
    <t>Park Nicollet Clinic  Wayzata</t>
  </si>
  <si>
    <t>250 North Central Avenue</t>
  </si>
  <si>
    <t>12/11/2026</t>
  </si>
  <si>
    <t>11/15/2026</t>
  </si>
  <si>
    <t>Physicians Group, LLC</t>
  </si>
  <si>
    <t>735 Kasota Avenue</t>
  </si>
  <si>
    <t>rob.adams@dseincorporated.com</t>
  </si>
  <si>
    <t>Bryan McGuire</t>
  </si>
  <si>
    <t>Malibu</t>
  </si>
  <si>
    <t>Leith</t>
  </si>
  <si>
    <t>Director of MRI Operations</t>
  </si>
  <si>
    <t>malibu.leith@dseincorporated.com</t>
  </si>
  <si>
    <t>4054 Sawyer Road</t>
  </si>
  <si>
    <t>SARASOTA</t>
  </si>
  <si>
    <t>FL</t>
  </si>
  <si>
    <t>1600 University Avenue</t>
  </si>
  <si>
    <t>Suite 306</t>
  </si>
  <si>
    <t>Casey</t>
  </si>
  <si>
    <t>Hallin</t>
  </si>
  <si>
    <t>casey.hallin@pgllc-mn.com</t>
  </si>
  <si>
    <t>http://www.physiciansgroupllc.com</t>
  </si>
  <si>
    <t>02/22/2026</t>
  </si>
  <si>
    <t>02/26/2022</t>
  </si>
  <si>
    <t>Prenuvo - Minneapolis</t>
  </si>
  <si>
    <t>2727 El Camino Real</t>
  </si>
  <si>
    <t>REDWOOD CITY</t>
  </si>
  <si>
    <t>CA</t>
  </si>
  <si>
    <t>hello@prenuvo.com</t>
  </si>
  <si>
    <t>Kingsley Chan</t>
  </si>
  <si>
    <t>Kingsley</t>
  </si>
  <si>
    <t>Chan</t>
  </si>
  <si>
    <t>Head of Finance</t>
  </si>
  <si>
    <t>Prenuvo</t>
  </si>
  <si>
    <t>kingsley.chan@prenuvo.com</t>
  </si>
  <si>
    <t>Eloise</t>
  </si>
  <si>
    <t>Lee</t>
  </si>
  <si>
    <t>eloise.lee@prenuvo.com</t>
  </si>
  <si>
    <t>www.prenuvo.com</t>
  </si>
  <si>
    <t>Primary ENT LLC</t>
  </si>
  <si>
    <t>14020 Highway 13 South</t>
  </si>
  <si>
    <t>Suite 350</t>
  </si>
  <si>
    <t>Melanie</t>
  </si>
  <si>
    <t>mjohnson@primaryent.com</t>
  </si>
  <si>
    <t>Boone</t>
  </si>
  <si>
    <t>MD</t>
  </si>
  <si>
    <t>johnlboone@gmail.com</t>
  </si>
  <si>
    <t>https://www.primaryent.com/</t>
  </si>
  <si>
    <t>RAYUS Radiology - Eagan</t>
  </si>
  <si>
    <t>2700 Vikings Circle</t>
  </si>
  <si>
    <t>Suite 110</t>
  </si>
  <si>
    <t>02/18/2025</t>
  </si>
  <si>
    <t>01/31/2025</t>
  </si>
  <si>
    <t>RAYUS Radiology - Highland Park</t>
  </si>
  <si>
    <t>2270 Ford Parkway</t>
  </si>
  <si>
    <t>11/27/2025</t>
  </si>
  <si>
    <t>11/09/2027</t>
  </si>
  <si>
    <t>RAYUS Radiology - Maple Grove</t>
  </si>
  <si>
    <t>9630 Grove Circle North</t>
  </si>
  <si>
    <t>01/11/2025</t>
  </si>
  <si>
    <t>12/26/2024</t>
  </si>
  <si>
    <t>RAYUS Radiology - Otsego</t>
  </si>
  <si>
    <t>OTSEGO</t>
  </si>
  <si>
    <t>9040 Quaday Avenue NE</t>
  </si>
  <si>
    <t>www.rayusradiology,com</t>
  </si>
  <si>
    <t>07/08/2025</t>
  </si>
  <si>
    <t>04/26/2025</t>
  </si>
  <si>
    <t>RAYUS Radiology - Sartell</t>
  </si>
  <si>
    <t>1901 Connecticut Avenue South</t>
  </si>
  <si>
    <t>02/25/2025</t>
  </si>
  <si>
    <t>RAYUS Radiology - Shakopee</t>
  </si>
  <si>
    <t>SHAKOPEE</t>
  </si>
  <si>
    <t>2995 Winners Circle Drive</t>
  </si>
  <si>
    <t>Suite 105</t>
  </si>
  <si>
    <t>09/13/2025</t>
  </si>
  <si>
    <t>03/28/2025</t>
  </si>
  <si>
    <t>RAYUS Radiology - St. Louis Park</t>
  </si>
  <si>
    <t>Suite 190</t>
  </si>
  <si>
    <t>01/12/2027</t>
  </si>
  <si>
    <t>06/05/2025</t>
  </si>
  <si>
    <t>RAYUS Radiology MRI - 01</t>
  </si>
  <si>
    <t>Don</t>
  </si>
  <si>
    <t>Salyer</t>
  </si>
  <si>
    <t>VP Sales - Mobile Div Insight Imaging</t>
  </si>
  <si>
    <t>RayUs Radiology</t>
  </si>
  <si>
    <t>don.salyer@rayusradiology.com</t>
  </si>
  <si>
    <t>Sherri</t>
  </si>
  <si>
    <t>Seymer</t>
  </si>
  <si>
    <t>Director of Customer Service</t>
  </si>
  <si>
    <t>sherri.seymer@rayusradiology.com</t>
  </si>
  <si>
    <t>RAYUS Radiology MRI - 02</t>
  </si>
  <si>
    <t>RAYUS Radiology MRI - 03</t>
  </si>
  <si>
    <t>Sanford Health Detroit Lakes Clinic</t>
  </si>
  <si>
    <t>1245 Washington Avenue</t>
  </si>
  <si>
    <t>Douglas</t>
  </si>
  <si>
    <t>Griffin</t>
  </si>
  <si>
    <t>Vice President - Sanford Clinic</t>
  </si>
  <si>
    <t>douglas.griffin@sanfordhealth.org</t>
  </si>
  <si>
    <t>Kristin Herrmann</t>
  </si>
  <si>
    <t>Kirsten</t>
  </si>
  <si>
    <t>Senior Financial Analyst</t>
  </si>
  <si>
    <t>Sanford Health</t>
  </si>
  <si>
    <t>kirsten.nelson@sanfordhealth.org</t>
  </si>
  <si>
    <t>415 Third Avenue North</t>
  </si>
  <si>
    <t>Tricia</t>
  </si>
  <si>
    <t>Schmitz</t>
  </si>
  <si>
    <t>Manager</t>
  </si>
  <si>
    <t>tricia.schmitz@sanfordhealth.org</t>
  </si>
  <si>
    <t>Leslie</t>
  </si>
  <si>
    <t>Wolf</t>
  </si>
  <si>
    <t>Senior Director of Finance</t>
  </si>
  <si>
    <t>leslie.wolf@sanfordhealth.org</t>
  </si>
  <si>
    <t>www.sanfordhealth.org</t>
  </si>
  <si>
    <t>12/05/2026</t>
  </si>
  <si>
    <t>Sanford Health East Grand Forks</t>
  </si>
  <si>
    <t>EAST GRAND FORKS</t>
  </si>
  <si>
    <t>929 Central Avenue</t>
  </si>
  <si>
    <t>929 Central Avenue NW</t>
  </si>
  <si>
    <t>Kristin Hermann</t>
  </si>
  <si>
    <t>02/11/2025</t>
  </si>
  <si>
    <t>Sanford USD Medical Center - MRI-1</t>
  </si>
  <si>
    <t>SIOUX FALLS</t>
  </si>
  <si>
    <t>1305 West 18th Street</t>
  </si>
  <si>
    <t>SD</t>
  </si>
  <si>
    <t>PO Box 5039</t>
  </si>
  <si>
    <t>paul.hanson@sanfordhealth.org</t>
  </si>
  <si>
    <t>Eric Vanden Hull</t>
  </si>
  <si>
    <t>Borns</t>
  </si>
  <si>
    <t>chad.borns@sanfordhealth.org</t>
  </si>
  <si>
    <t>MINNEHAHA</t>
  </si>
  <si>
    <t>Sanford USD Medical Center - MRI-2</t>
  </si>
  <si>
    <t>Sanford USD Medical Center - MRI-3</t>
  </si>
  <si>
    <t>Shared Medical Services - AIR 02 (MRI)</t>
  </si>
  <si>
    <t>COTTAGE GROVE</t>
  </si>
  <si>
    <t>209 Limestone Pass</t>
  </si>
  <si>
    <t>DANE</t>
  </si>
  <si>
    <t>Maureen</t>
  </si>
  <si>
    <t>Kenney</t>
  </si>
  <si>
    <t>mkenney@sharedmed.com</t>
  </si>
  <si>
    <t>Rick Lonigro</t>
  </si>
  <si>
    <t>Thurnbauer</t>
  </si>
  <si>
    <t>Financial Accountant</t>
  </si>
  <si>
    <t>Shared Medical Services</t>
  </si>
  <si>
    <t>kthurnbauer@sharedmed.com</t>
  </si>
  <si>
    <t>www.sharedmed.com</t>
  </si>
  <si>
    <t>Shared Medical Services - DEX 01 (PET/CT)</t>
  </si>
  <si>
    <t>Shared Medical Services - GIL 01 (PET/CT)</t>
  </si>
  <si>
    <t>Shared Medical Services - HML 03 (MRI)</t>
  </si>
  <si>
    <t>Shared Medical Services - JET 01 (PET/CT)</t>
  </si>
  <si>
    <t>Shared Medical Services - KEY 01 (PET/CT)</t>
  </si>
  <si>
    <t>11/01/2020</t>
  </si>
  <si>
    <t>Shared Medical Services - LAI 01 (PET/CT)</t>
  </si>
  <si>
    <t>Shared Medical Services - OSL 01 (MRI)</t>
  </si>
  <si>
    <t>Shared Medical Services - OSL 02 (MRI)</t>
  </si>
  <si>
    <t>Shared Medical Services - SKY 02 (SPECT/CT)</t>
  </si>
  <si>
    <t>Shared Medical Services - SKY 03 (PET/CT)</t>
  </si>
  <si>
    <t>Shared Medical Services - SMG 17 (MRI)</t>
  </si>
  <si>
    <t>Shared Medical Services - SMG 20 (CT)</t>
  </si>
  <si>
    <t>Shared Medical Services - SMG 29 (MRI)</t>
  </si>
  <si>
    <t>Shared Medical Services - SMG 32 (CT)</t>
  </si>
  <si>
    <t>Shared Medical Services - SMG 40 (CT)</t>
  </si>
  <si>
    <t>Shared Medical Services - SMG 41 (CT)</t>
  </si>
  <si>
    <t>Shared Medical Services - SMG 42 (CT)</t>
  </si>
  <si>
    <t>Shared Medical Services - SMG 45 (CT)</t>
  </si>
  <si>
    <t>Shared Medical Services - SMG 48 (MRI)</t>
  </si>
  <si>
    <t>Shared Medical Services - SMG 49 (CT)</t>
  </si>
  <si>
    <t>Shared Medical Services - SMG 50 (CT)</t>
  </si>
  <si>
    <t>Shared Medical Services - SMG 50 (MRI)</t>
  </si>
  <si>
    <t>Shared Medical Services - SMG 53(MRI)</t>
  </si>
  <si>
    <t>Shared Medical Services - SMG 54 (MRI)</t>
  </si>
  <si>
    <t>Shared Medical Services - SMR 07 (PET/CT)</t>
  </si>
  <si>
    <t>Shared Medical Services - SVM 01 (MRI)</t>
  </si>
  <si>
    <t>Shared Medical Services - VIT 01 (MRI)</t>
  </si>
  <si>
    <t>Shared Medical Services - VIT 02 (MRI)</t>
  </si>
  <si>
    <t>Shared Medical Services - VIT 08 (MRI)</t>
  </si>
  <si>
    <t>Shared Medical Services - WAY 01 (MRI)</t>
  </si>
  <si>
    <t>Shared Medical Services - WES 04 (MRI)</t>
  </si>
  <si>
    <t>Shared Medical Services - WIL 01 (PET/CT)</t>
  </si>
  <si>
    <t>Shared Medical Services - WIL 02 (PET/CT)</t>
  </si>
  <si>
    <t>Shared Medical Services Interim CT - (King's Medical - CT)</t>
  </si>
  <si>
    <t>Shared Medical Services Interim CT- (Catalina Imaging - CT)</t>
  </si>
  <si>
    <t>Shared Medical Services Interim MRI - (King's Medical - MRI)</t>
  </si>
  <si>
    <t>Shared Medical Technology, Inc. PET/CT - M1</t>
  </si>
  <si>
    <t>1422 Naylor Drive SE</t>
  </si>
  <si>
    <t>Greg</t>
  </si>
  <si>
    <t>Lyga</t>
  </si>
  <si>
    <t>CNMT, RSO, Nuclear Medicine Manager</t>
  </si>
  <si>
    <t>gregl@sharedmedtech.com</t>
  </si>
  <si>
    <t>Dan Petry</t>
  </si>
  <si>
    <t>Kevin</t>
  </si>
  <si>
    <t>Waldhausen</t>
  </si>
  <si>
    <t>MN Nuclear Medicine Lead Tech</t>
  </si>
  <si>
    <t>Shared Medical Technology</t>
  </si>
  <si>
    <t>kevinw@sharedmedtech.com</t>
  </si>
  <si>
    <t>Bemidji Regional Manager</t>
  </si>
  <si>
    <t>202 West Newton Street</t>
  </si>
  <si>
    <t>RICE LAKE</t>
  </si>
  <si>
    <t>BARRON</t>
  </si>
  <si>
    <t>www.sharedmedtech.com</t>
  </si>
  <si>
    <t>Shared Medical Technonogy, Inc.</t>
  </si>
  <si>
    <t>Shared Medical Technology, Inc. SPECT- F1 @ Riverview Healthcare Association</t>
  </si>
  <si>
    <t>323 South Minnesota</t>
  </si>
  <si>
    <t>Shared Medical Technology, Inc. SPECT- F3 @ LifeCare Medical Center</t>
  </si>
  <si>
    <t>Shared Medical Technology, Inc. SPECT- F4 @ Sanford Thief River Falls Medical Center</t>
  </si>
  <si>
    <t>THIEF RIVER FALLS</t>
  </si>
  <si>
    <t>3001 Sanford Parkway</t>
  </si>
  <si>
    <t>PENNINGTON</t>
  </si>
  <si>
    <t>Shared Medical Technology, Inc. SPECT- M2 (Mobile Unit - 2)</t>
  </si>
  <si>
    <t>Southwest Minnesota Orthopedics and Sports Medicine, Inc. - Marshall</t>
  </si>
  <si>
    <t>MARSHALL</t>
  </si>
  <si>
    <t>1401 Nwakama Street</t>
  </si>
  <si>
    <t>LYON</t>
  </si>
  <si>
    <t>2331 20th Street 9 (Hwy 30)</t>
  </si>
  <si>
    <t>SLAYTON</t>
  </si>
  <si>
    <t>MURRAY</t>
  </si>
  <si>
    <t>Jessica</t>
  </si>
  <si>
    <t>Buysse</t>
  </si>
  <si>
    <t>Office Manager, RT</t>
  </si>
  <si>
    <t>jessica@swm-ortho.com</t>
  </si>
  <si>
    <t>Anthony Nwakama, MD</t>
  </si>
  <si>
    <t>Southwest Minnesota Orthopedics and Sports Medicinc, Inc.</t>
  </si>
  <si>
    <t>Anthony</t>
  </si>
  <si>
    <t>Nwakama</t>
  </si>
  <si>
    <t>Owner, CEO</t>
  </si>
  <si>
    <t>anwakama@swm-ortho.com</t>
  </si>
  <si>
    <t>http://swm-ortho.com</t>
  </si>
  <si>
    <t>Southwest MN Ortho &amp; Sports Med.</t>
  </si>
  <si>
    <t>01/31/2027</t>
  </si>
  <si>
    <t>Spine and Joint Imaging</t>
  </si>
  <si>
    <t>485 Arundel Street</t>
  </si>
  <si>
    <t>Suite 102</t>
  </si>
  <si>
    <t>Kim</t>
  </si>
  <si>
    <t>Pham</t>
  </si>
  <si>
    <t>angeldebello@yahoo.com</t>
  </si>
  <si>
    <t>Kim Pham</t>
  </si>
  <si>
    <t>Brenda</t>
  </si>
  <si>
    <t>Teich</t>
  </si>
  <si>
    <t>spjoim@gmail.com</t>
  </si>
  <si>
    <t>St. Cloud Ear, Nose &amp; Throat-Head and Neck Clinic</t>
  </si>
  <si>
    <t>1528 Northway Drive</t>
  </si>
  <si>
    <t>Emily</t>
  </si>
  <si>
    <t>Director of Operations</t>
  </si>
  <si>
    <t>ejacobs@stcloudent.com</t>
  </si>
  <si>
    <t>Susan</t>
  </si>
  <si>
    <t>Koprek</t>
  </si>
  <si>
    <t>Front Office/Appot Scheduler  Manager</t>
  </si>
  <si>
    <t>St. Cloud Ear, Nose &amp;Throat-Head and Neck Clinic</t>
  </si>
  <si>
    <t>skoprek@stcloudent.com</t>
  </si>
  <si>
    <t>www.stcloudent.com</t>
  </si>
  <si>
    <t>01/31/2024</t>
  </si>
  <si>
    <t>St. Cloud Orthopedic Associates, Ltd.</t>
  </si>
  <si>
    <t>Ed</t>
  </si>
  <si>
    <t>ekelly@stcloudorthopedics.com</t>
  </si>
  <si>
    <t>Steve Bode</t>
  </si>
  <si>
    <t>Steve</t>
  </si>
  <si>
    <t>Bode</t>
  </si>
  <si>
    <t>sbode@stcloudorthopedics.com</t>
  </si>
  <si>
    <t>www.stcloudorthopedics.com</t>
  </si>
  <si>
    <t>St. Luke's Duluth Clinic System - Laurentian Medical Clinic</t>
  </si>
  <si>
    <t>8373 Unity Drive</t>
  </si>
  <si>
    <t>915 East First Street</t>
  </si>
  <si>
    <t>Lohn</t>
  </si>
  <si>
    <t>Co-President &amp; CEO-CFO</t>
  </si>
  <si>
    <t>eric.lohn@slhduluth.com</t>
  </si>
  <si>
    <t>Eric Lohn</t>
  </si>
  <si>
    <t>Anna</t>
  </si>
  <si>
    <t>Watkins</t>
  </si>
  <si>
    <t>St. Luke's Hospital</t>
  </si>
  <si>
    <t>anna.watkins@slhduluth.com</t>
  </si>
  <si>
    <t>Terri</t>
  </si>
  <si>
    <t>Ruberg</t>
  </si>
  <si>
    <t>Director, Clinic Operations</t>
  </si>
  <si>
    <t>terri.ruberg@slhduluth.com</t>
  </si>
  <si>
    <t>Sundquist</t>
  </si>
  <si>
    <t>Director, Fianance &amp; Accounting</t>
  </si>
  <si>
    <t>whitney.sundquist@slhduluth.com</t>
  </si>
  <si>
    <t>www.slhduluth.com/clinics-specialties</t>
  </si>
  <si>
    <t>08/13/2024</t>
  </si>
  <si>
    <t>10/23/2025</t>
  </si>
  <si>
    <t>St. Paul Rheumatology, P.A.</t>
  </si>
  <si>
    <t>2854 Highway 55</t>
  </si>
  <si>
    <t>Forgey</t>
  </si>
  <si>
    <t>travis@hmr.net</t>
  </si>
  <si>
    <t>DeAnna</t>
  </si>
  <si>
    <t>Larson</t>
  </si>
  <si>
    <t>deannal@hmr.net</t>
  </si>
  <si>
    <t>Connie</t>
  </si>
  <si>
    <t>Simmental</t>
  </si>
  <si>
    <t>Lead Medical Assistant</t>
  </si>
  <si>
    <t>connie@sprdrem.com</t>
  </si>
  <si>
    <t>www.stpaulrheumatology.com</t>
  </si>
  <si>
    <t>Suburban Imaging  Coon Rapids</t>
  </si>
  <si>
    <t>8990 Springbrook Drive</t>
  </si>
  <si>
    <t>Suite 140</t>
  </si>
  <si>
    <t>09/21/2025</t>
  </si>
  <si>
    <t>Suburban Imaging  Coon Rapids 2</t>
  </si>
  <si>
    <t>11850 Blackfoot Street NW</t>
  </si>
  <si>
    <t>Blaske Darsow</t>
  </si>
  <si>
    <t>09/04/2026</t>
  </si>
  <si>
    <t>05/24/2026</t>
  </si>
  <si>
    <t>Suburban Imaging Maple Grove</t>
  </si>
  <si>
    <t>12000 Elm Creek Boulevard</t>
  </si>
  <si>
    <t>www.midwestraadiology.com</t>
  </si>
  <si>
    <t>07/23/2025</t>
  </si>
  <si>
    <t>03/10/2026</t>
  </si>
  <si>
    <t>Summit Orthopedics -  Midway</t>
  </si>
  <si>
    <t>1661 St. Anthony Avenue</t>
  </si>
  <si>
    <t>710 Commerce Drive</t>
  </si>
  <si>
    <t>Bien</t>
  </si>
  <si>
    <t>jbien@summitortho.com</t>
  </si>
  <si>
    <t>John Bien</t>
  </si>
  <si>
    <t>Rhodes</t>
  </si>
  <si>
    <t>Senior Financial Business Partner</t>
  </si>
  <si>
    <t>Summit Health ASO, Corp.</t>
  </si>
  <si>
    <t>arhoads@summitortho.com</t>
  </si>
  <si>
    <t>Robin</t>
  </si>
  <si>
    <t>Kins</t>
  </si>
  <si>
    <t>Financial Planning &amp; Analysis Manager</t>
  </si>
  <si>
    <t>rkins@summitortho.com</t>
  </si>
  <si>
    <t>Karen</t>
  </si>
  <si>
    <t>Gustafson</t>
  </si>
  <si>
    <t>kgustafson@summitortho.com</t>
  </si>
  <si>
    <t>www.summitortho.com</t>
  </si>
  <si>
    <t>08/04/2026</t>
  </si>
  <si>
    <t>Summit Orthopedics - Eagan</t>
  </si>
  <si>
    <t>2620 Eagan Woods Drive</t>
  </si>
  <si>
    <t>09/22/2026</t>
  </si>
  <si>
    <t>Summit Orthopedics - Lakeville</t>
  </si>
  <si>
    <t>17210 Kenyon Avenue</t>
  </si>
  <si>
    <t>12/08/2025</t>
  </si>
  <si>
    <t>Summit Orthopedics - Vadnais Heights</t>
  </si>
  <si>
    <t>3580 Arcade Street</t>
  </si>
  <si>
    <t>07/30/2026</t>
  </si>
  <si>
    <t>Summit Orthopedics - Woodlake</t>
  </si>
  <si>
    <t>2090 Woodwinds Drive</t>
  </si>
  <si>
    <t xml:space="preserve">The Ear, Nose and Throat Clinic and Hearing Center, PA DBA Renew ENT and Hearing Center </t>
  </si>
  <si>
    <t>7300 France Avenue South</t>
  </si>
  <si>
    <t>Suite 420</t>
  </si>
  <si>
    <t>Peterson</t>
  </si>
  <si>
    <t>clinic@renewent.com</t>
  </si>
  <si>
    <t>Trisha</t>
  </si>
  <si>
    <t>Brandt</t>
  </si>
  <si>
    <t>Lead Care Coordinator</t>
  </si>
  <si>
    <t>tbrandt@renewent.com</t>
  </si>
  <si>
    <t>jpeterson@renewent.com</t>
  </si>
  <si>
    <t>www.renewent.com</t>
  </si>
  <si>
    <t>07/31/2026</t>
  </si>
  <si>
    <t>The Orthopedic &amp; Fracture Clinic, PA</t>
  </si>
  <si>
    <t>1431 Premier Drive</t>
  </si>
  <si>
    <t>Willaert</t>
  </si>
  <si>
    <t>swillaert@ofc-clinic.com</t>
  </si>
  <si>
    <t>Jessica Arnoldy</t>
  </si>
  <si>
    <t>www.ofc-clinic.com</t>
  </si>
  <si>
    <t>07/29/2025</t>
  </si>
  <si>
    <t>Transcend Imaging LLC</t>
  </si>
  <si>
    <t>CAPE CORAL</t>
  </si>
  <si>
    <t>1825 41st Street</t>
  </si>
  <si>
    <t>1825 SW 41st Street</t>
  </si>
  <si>
    <t>Managing Partner</t>
  </si>
  <si>
    <t>steve@transcendimaging.com</t>
  </si>
  <si>
    <t>TRIA Orthopaedic - Woodbury</t>
  </si>
  <si>
    <t>155 Radio Drive</t>
  </si>
  <si>
    <t>Arneson</t>
  </si>
  <si>
    <t>VP Orthopaedic Services</t>
  </si>
  <si>
    <t>jessica.arneson@parknicollet.com</t>
  </si>
  <si>
    <t>Penny Cermak</t>
  </si>
  <si>
    <t>Chow</t>
  </si>
  <si>
    <t>Sr. Business Operations Manager</t>
  </si>
  <si>
    <t>TRIA Orthopaedic Center</t>
  </si>
  <si>
    <t>ching.hang.chow@tria.com</t>
  </si>
  <si>
    <t>8100 Northland Drive</t>
  </si>
  <si>
    <t>www.tria.com</t>
  </si>
  <si>
    <t>01/26/2027</t>
  </si>
  <si>
    <t>TRIA Orthopaedic Center - Bloomington</t>
  </si>
  <si>
    <t>vpm@inspiredspinehealth.com</t>
  </si>
  <si>
    <t>11/08/2025</t>
  </si>
  <si>
    <t>True North Oral Surgery &amp; Implants PLLC</t>
  </si>
  <si>
    <t>1420 Lake Street South</t>
  </si>
  <si>
    <t>Morchinek</t>
  </si>
  <si>
    <t>Operations Manager/Administrator</t>
  </si>
  <si>
    <t>jmorch@truenorthoralsurgery.com</t>
  </si>
  <si>
    <t>Ventrelli</t>
  </si>
  <si>
    <t>Surgical Assistant</t>
  </si>
  <si>
    <t>surgassistants@truenorthoralsurgery.com</t>
  </si>
  <si>
    <t>9950 Valley Creek Road</t>
  </si>
  <si>
    <t>www.truenorthoralsurgery.com</t>
  </si>
  <si>
    <t>1560 Beam Avenue</t>
  </si>
  <si>
    <t>Suite E</t>
  </si>
  <si>
    <t>Twin Cities Orthopedics - Blaine</t>
  </si>
  <si>
    <t>11225 Ulysses Street NE</t>
  </si>
  <si>
    <t>Aaron</t>
  </si>
  <si>
    <t>aaronjohnson@tcomn.com</t>
  </si>
  <si>
    <t>Christensen</t>
  </si>
  <si>
    <t>Imaging Director</t>
  </si>
  <si>
    <t>Twin Cities Orthopedics</t>
  </si>
  <si>
    <t>ericchristensen@tcomn.com</t>
  </si>
  <si>
    <t>4010 West 65th Street</t>
  </si>
  <si>
    <t>jayhempe@revohealth.com</t>
  </si>
  <si>
    <t>www.tcomn.com</t>
  </si>
  <si>
    <t>Twin Cities Orthopedics - Brooklyn Park</t>
  </si>
  <si>
    <t>5601 96th Avenue North</t>
  </si>
  <si>
    <t>www.tocmn.com</t>
  </si>
  <si>
    <t>Twin Cities Orthopedics - Burnsville</t>
  </si>
  <si>
    <t>1000 West 140th Street</t>
  </si>
  <si>
    <t>Twin Cities Orthopedics - Coon Rapids</t>
  </si>
  <si>
    <t>3111 - 124th Avenue NW</t>
  </si>
  <si>
    <t>Director of Imaging</t>
  </si>
  <si>
    <t>Twin Cities Orthopedics - Eagan</t>
  </si>
  <si>
    <t>2700 Vikings Parkway</t>
  </si>
  <si>
    <t>02/28/2025</t>
  </si>
  <si>
    <t>Twin Cities Orthopedics - Edina</t>
  </si>
  <si>
    <t>10/31/2024</t>
  </si>
  <si>
    <t>Twin Cities Orthopedics - Maple Grove</t>
  </si>
  <si>
    <t>Twin Cities Orthopedics - Plymouth</t>
  </si>
  <si>
    <t>16800 37th Place North</t>
  </si>
  <si>
    <t>Twin Cities Orthopedics - Stillwater</t>
  </si>
  <si>
    <t>STILLWATER</t>
  </si>
  <si>
    <t>5715 Memorial Avenue North</t>
  </si>
  <si>
    <t>Twin Cities Orthopedics - Woodbury</t>
  </si>
  <si>
    <t>4040 Radio Drive</t>
  </si>
  <si>
    <t>U of M Health Clinics and Surgery Center</t>
  </si>
  <si>
    <t>909 Fulton Street SE</t>
  </si>
  <si>
    <t>Operations Director</t>
  </si>
  <si>
    <t>Tom DePhillips</t>
  </si>
  <si>
    <t>www.mhealth.org</t>
  </si>
  <si>
    <t>Urgency Room - Eagan</t>
  </si>
  <si>
    <t>3010 Denmark Avenue</t>
  </si>
  <si>
    <t>Thomas</t>
  </si>
  <si>
    <t>Klassen</t>
  </si>
  <si>
    <t>tklassen@eppahealth.com</t>
  </si>
  <si>
    <t>Izzy</t>
  </si>
  <si>
    <t>Menk</t>
  </si>
  <si>
    <t>Emergency Physicians, P.A.</t>
  </si>
  <si>
    <t>imenk@eppahealth.com</t>
  </si>
  <si>
    <t>4300 Marketpointe Drive</t>
  </si>
  <si>
    <t>Strathman</t>
  </si>
  <si>
    <t>General Counsel, Director of Human Resources</t>
  </si>
  <si>
    <t>cstrathman@eppahealth.com</t>
  </si>
  <si>
    <t>Kristy</t>
  </si>
  <si>
    <t>Grunder</t>
  </si>
  <si>
    <t>VP of Finance</t>
  </si>
  <si>
    <t>kgrunder@eppahealth.com</t>
  </si>
  <si>
    <t>www.urgencyroom.com</t>
  </si>
  <si>
    <t>Emergency Physicians, P.A. (EPPA)</t>
  </si>
  <si>
    <t>03/11/2025</t>
  </si>
  <si>
    <t>Urgency Room - Vadnais Heights</t>
  </si>
  <si>
    <t>1159 East County Road E</t>
  </si>
  <si>
    <t xml:space="preserve">VADNAIS HEIGHTS </t>
  </si>
  <si>
    <t>04/08/2027</t>
  </si>
  <si>
    <t>Urgency Room - Woodbury</t>
  </si>
  <si>
    <t>7115 Tamarack Road</t>
  </si>
  <si>
    <t>04/16/2027</t>
  </si>
  <si>
    <t>Voyageur Imaging, LLC</t>
  </si>
  <si>
    <t>393 Dunlap Street</t>
  </si>
  <si>
    <t>Suite LL40</t>
  </si>
  <si>
    <t>Hans</t>
  </si>
  <si>
    <t>Castro</t>
  </si>
  <si>
    <t>jennifer@voyageurimaging.com</t>
  </si>
  <si>
    <t>Dr. Steven Johnson</t>
  </si>
  <si>
    <t>Hentges</t>
  </si>
  <si>
    <t>Billing Coordinator</t>
  </si>
  <si>
    <t>12/23/2025</t>
  </si>
  <si>
    <t>Welia Health Pine City</t>
  </si>
  <si>
    <t>Randy</t>
  </si>
  <si>
    <t>Ulseth</t>
  </si>
  <si>
    <t>rulseth@welia.org</t>
  </si>
  <si>
    <t>Josh Asp</t>
  </si>
  <si>
    <t>Leann</t>
  </si>
  <si>
    <t>McMullen</t>
  </si>
  <si>
    <t>Imaging Manager</t>
  </si>
  <si>
    <t>Welia Health</t>
  </si>
  <si>
    <t>lmcmullen@welia.org</t>
  </si>
  <si>
    <t>301 Highway 65 South</t>
  </si>
  <si>
    <t>Joshua</t>
  </si>
  <si>
    <t>Asp</t>
  </si>
  <si>
    <t>jasp@welia.org</t>
  </si>
  <si>
    <t>www.weliahealth.org</t>
  </si>
  <si>
    <t>02/18/2026</t>
  </si>
  <si>
    <t>Zenith Spine &amp; Wellness</t>
  </si>
  <si>
    <t>3947 East Calvary Road</t>
  </si>
  <si>
    <t>Suite 103</t>
  </si>
  <si>
    <t>Angela</t>
  </si>
  <si>
    <t>Staubs</t>
  </si>
  <si>
    <t>Owner/Chiropractic provider</t>
  </si>
  <si>
    <t>drangelastaubs@gmail.com</t>
  </si>
  <si>
    <t>Owner</t>
  </si>
  <si>
    <t>https://zenithspine.com/</t>
  </si>
  <si>
    <t>!Interim Manufacturer Operational Lease - CT - Fixed</t>
  </si>
  <si>
    <t>!Interim Manufacturer Operational Lease - CT - Mobile</t>
  </si>
  <si>
    <t>!Interim Manufacturer Operational Lease - MRI - Fixed</t>
  </si>
  <si>
    <t>!Interim Manufacturer Operational Lease - MRI - Mobile</t>
  </si>
  <si>
    <t>!Interim Manufacturer Operational Lease - PET - Fixed</t>
  </si>
  <si>
    <t>!Interim Manufacturer Operational Lease - PET - Mobile</t>
  </si>
  <si>
    <t>!Interim Manufacturer Operational Lease - PET/CT - Fixed</t>
  </si>
  <si>
    <t>!Interim Manufacturer Operational Lease - PET/CT - Moble</t>
  </si>
  <si>
    <t>!Interim Manufacturer Operational Lease - SPECT - Fixed</t>
  </si>
  <si>
    <t>!Interim Manufacturer Operational Lease - SPECT - Mobile</t>
  </si>
  <si>
    <t>!Interim Manufacturer Operational Lease - SPECT/CT  - Mobile</t>
  </si>
  <si>
    <t>!Interim Manufacturer Operational Lease - SPECT/CT - Fixed</t>
  </si>
  <si>
    <t>affiliation_id_1</t>
  </si>
  <si>
    <t>affiliation_id_2</t>
  </si>
  <si>
    <t>affiliation_id_3</t>
  </si>
  <si>
    <t>Essentia Health Ada</t>
  </si>
  <si>
    <t>ADA</t>
  </si>
  <si>
    <t>201 9th Street West</t>
  </si>
  <si>
    <t>Arthur Swanstrom, D.D.S.</t>
  </si>
  <si>
    <t>13 Third Street Northeast</t>
  </si>
  <si>
    <t>Riverwood Healthcare Center</t>
  </si>
  <si>
    <t>Mayo Cancer Center - Albert Lea</t>
  </si>
  <si>
    <t>ALBERT LEA</t>
  </si>
  <si>
    <t>404 South Fountain Street</t>
  </si>
  <si>
    <t>Mayo Clinic Health System - Albert Lea and Austin</t>
  </si>
  <si>
    <t>404 W. Fountain Street</t>
  </si>
  <si>
    <t>MercyOne North Iowa Medical Center @ North Iowa Mercy Clinics - Albert Lea</t>
  </si>
  <si>
    <t>2440 Bridge Avenue</t>
  </si>
  <si>
    <t>Alomere Health</t>
  </si>
  <si>
    <t>111 E. 17th Avenue</t>
  </si>
  <si>
    <t>Center for Pain Management Ambulatory Surgery - Alexandria</t>
  </si>
  <si>
    <t>519 22nd Avenue East</t>
  </si>
  <si>
    <t>Community Behavioral Health Hospital-Alexandria</t>
  </si>
  <si>
    <t>1610 8th Ave. E.</t>
  </si>
  <si>
    <t>Minnesota Eye Institute Surgery Center</t>
  </si>
  <si>
    <t>3401 South Broadway</t>
  </si>
  <si>
    <t>Vance Thompson Vision</t>
  </si>
  <si>
    <t>2600 Jefferson Street</t>
  </si>
  <si>
    <t>Community Behavioral Health Hospital - Annandale</t>
  </si>
  <si>
    <t>ANNANDALE</t>
  </si>
  <si>
    <t>400 Annandale Blvd</t>
  </si>
  <si>
    <t>Anoka Metro Regional Treatment Center</t>
  </si>
  <si>
    <t>3301 7th Avenue North</t>
  </si>
  <si>
    <t>Appleton Area Health</t>
  </si>
  <si>
    <t>Elite Dental, LLC</t>
  </si>
  <si>
    <t>7300 - 147th Street West</t>
  </si>
  <si>
    <t>United Medical Imaging</t>
  </si>
  <si>
    <t>Boston Scientific CRM</t>
  </si>
  <si>
    <t>ARDEN HILLS</t>
  </si>
  <si>
    <t>4100 Hamline Avenue</t>
  </si>
  <si>
    <t>Ridgeview Sibley Medical Center</t>
  </si>
  <si>
    <t>Essentia Health Northern Pines</t>
  </si>
  <si>
    <t>Mayo Clinic Health System - Albert Lea (Austin Campus)</t>
  </si>
  <si>
    <t>AUSTIN</t>
  </si>
  <si>
    <t>1000 First Drive NW</t>
  </si>
  <si>
    <t>Sanford Bagley Medical Center</t>
  </si>
  <si>
    <t>CHI LakeWood Health</t>
  </si>
  <si>
    <t>BAUDETTE</t>
  </si>
  <si>
    <t>600 Main Ave. South</t>
  </si>
  <si>
    <t>Brainerd Lakes Surgery Center</t>
  </si>
  <si>
    <t>13114 Isle Drive</t>
  </si>
  <si>
    <t>Colby-Mueller Orthodontics</t>
  </si>
  <si>
    <t>13367 Isle Drive</t>
  </si>
  <si>
    <t>Community Behavioral Health Hospital - Baxter</t>
  </si>
  <si>
    <t>14241 Grand Oaks Drive</t>
  </si>
  <si>
    <t>Minneapolis Heart Institute - Brainerd Lakes</t>
  </si>
  <si>
    <t>Community Behavioral Health Hospital - Bemidji</t>
  </si>
  <si>
    <t>800 Bemidji Avenue North, Suite 200</t>
  </si>
  <si>
    <t>Sanford Bemidji Medical Center</t>
  </si>
  <si>
    <t>1300 Anne Street NW</t>
  </si>
  <si>
    <t>CENTRACARE HEALTH -BENSON, LLC</t>
  </si>
  <si>
    <t>Bigfork Valley Hospital</t>
  </si>
  <si>
    <t>Blaine Orthopedic Surgery Center</t>
  </si>
  <si>
    <t>MN Eye Laser &amp; Surgery Center</t>
  </si>
  <si>
    <t>Moxi Center of Minnesota, LLC</t>
  </si>
  <si>
    <t>11850 Aberdeen Street</t>
  </si>
  <si>
    <t>North Metro Surgery Center</t>
  </si>
  <si>
    <t>11855 Ulysses Street NE</t>
  </si>
  <si>
    <t>Chu Surgery Center, LLC</t>
  </si>
  <si>
    <t>9117 Lyndale Avenue South</t>
  </si>
  <si>
    <t>9801 Dupont Avenue South</t>
  </si>
  <si>
    <t>MNGI Endoscopy ASC Inc. - Bloomington</t>
  </si>
  <si>
    <t>5705 West Old Shakopee Road</t>
  </si>
  <si>
    <t>TRIA Orthopaedic Center, LLC</t>
  </si>
  <si>
    <t>US Health Imaging, LLC</t>
  </si>
  <si>
    <t>8053 East Bloomington Freeway</t>
  </si>
  <si>
    <t>United Hospital District</t>
  </si>
  <si>
    <t>515 S. Moore St.</t>
  </si>
  <si>
    <t>Essentia Health-St. Joseph's Medical Center</t>
  </si>
  <si>
    <t>523 North Third Street</t>
  </si>
  <si>
    <t>CHI St. Francis Health</t>
  </si>
  <si>
    <t>Allina Health Surgery Center - Brooklyn Park</t>
  </si>
  <si>
    <t>Healthcare Chiropractic Clinic</t>
  </si>
  <si>
    <t>5820 74th Avenue North</t>
  </si>
  <si>
    <t>North American Science Associates Inc. (NAMSA)</t>
  </si>
  <si>
    <t>4129 85th Avenue North</t>
  </si>
  <si>
    <t>PrairieCare</t>
  </si>
  <si>
    <t>9400 Zane Ave N</t>
  </si>
  <si>
    <t>Buffalo Dental Group</t>
  </si>
  <si>
    <t>BUFFALO</t>
  </si>
  <si>
    <t>1000 Highway 25 South</t>
  </si>
  <si>
    <t>Buffalo Hospital</t>
  </si>
  <si>
    <t>303 Catlin Street</t>
  </si>
  <si>
    <t>Health Innovations of Minnesota, LLC</t>
  </si>
  <si>
    <t>3117 53rd Street NE</t>
  </si>
  <si>
    <t>Kuzma Chiropractic - Buffalo</t>
  </si>
  <si>
    <t>105 Center Drive</t>
  </si>
  <si>
    <t>Burnsville Surgery Center</t>
  </si>
  <si>
    <t>14551 County Road 11</t>
  </si>
  <si>
    <t>Imricor Medical Systems</t>
  </si>
  <si>
    <t>400 Gateway Boulevard</t>
  </si>
  <si>
    <t>Inspired Spine SurgCenter - Burnsville</t>
  </si>
  <si>
    <t>M Health Fairview Ridges Hospital</t>
  </si>
  <si>
    <t>201 East Nicollet Boulevard</t>
  </si>
  <si>
    <t>Minnesota Valley Surgery Center</t>
  </si>
  <si>
    <t>Park Nicollet Same Day Surgery</t>
  </si>
  <si>
    <t>14050 Fairview Drive</t>
  </si>
  <si>
    <t>Ridges Radiation Therapy</t>
  </si>
  <si>
    <t>Ridges Surgery Center</t>
  </si>
  <si>
    <t>Cambridge Medical Center</t>
  </si>
  <si>
    <t>CAMBRIDGE</t>
  </si>
  <si>
    <t>701 Dellwood Street South</t>
  </si>
  <si>
    <t>Sanford Canby Medical Center</t>
  </si>
  <si>
    <t>CANBY</t>
  </si>
  <si>
    <t>112 Saint Olaf Avenue South</t>
  </si>
  <si>
    <t>Mayo Clinic Health System in Cannon Falls</t>
  </si>
  <si>
    <t>CANNON FALLS</t>
  </si>
  <si>
    <t>32021 County 24 Boulevard</t>
  </si>
  <si>
    <t>US Public Health Service - Cass Lake</t>
  </si>
  <si>
    <t>CASS LAKE</t>
  </si>
  <si>
    <t>Rural Route3</t>
  </si>
  <si>
    <t>Atlas Surgery Center, LLC</t>
  </si>
  <si>
    <t>CHASKA</t>
  </si>
  <si>
    <t>3000 Hundertmark Road</t>
  </si>
  <si>
    <t>Bhatti GI Surgery Center</t>
  </si>
  <si>
    <t>1447 White Oak Drive</t>
  </si>
  <si>
    <t>Chaska Plaza Surgery Center dba Two Twelve Surgery Center</t>
  </si>
  <si>
    <t>111 Hundertmark Road</t>
  </si>
  <si>
    <t>Pain Centers of Minnesota - Chaska</t>
  </si>
  <si>
    <t>Community Memorial Hospital</t>
  </si>
  <si>
    <t>COLUMBIA HEIGHTS</t>
  </si>
  <si>
    <t>3989 Central Avenue NE</t>
  </si>
  <si>
    <t>Cook Hospital &amp; Care Center</t>
  </si>
  <si>
    <t>10 5th St SE</t>
  </si>
  <si>
    <t>American Preclinical</t>
  </si>
  <si>
    <t>8946 Evergreen Boulevard</t>
  </si>
  <si>
    <t>Medtronic</t>
  </si>
  <si>
    <t>710 Medtronic Parkway</t>
  </si>
  <si>
    <t>Mercy Hospital</t>
  </si>
  <si>
    <t>4050 Coon Rapids Blvd. NW</t>
  </si>
  <si>
    <t>Mercy Radiation Therapy</t>
  </si>
  <si>
    <t>11850 Black Foot Street</t>
  </si>
  <si>
    <t>Minneapolis Clinic of Neurology - Coon Rapids</t>
  </si>
  <si>
    <t>3833 Coon Rapids Boulevard</t>
  </si>
  <si>
    <t>MNGI Endoscopy ASC Inc. - Coon Rapids</t>
  </si>
  <si>
    <t>9145 Springbrook Drive</t>
  </si>
  <si>
    <t>RiverView Health</t>
  </si>
  <si>
    <t>Cuyuna Regional Medical Center</t>
  </si>
  <si>
    <t>320 East Main Street NULL</t>
  </si>
  <si>
    <t>Sparrow Medical Systems</t>
  </si>
  <si>
    <t>CROSSLAKE</t>
  </si>
  <si>
    <t>39798 Majestic Road</t>
  </si>
  <si>
    <t>Johnson Memorial Health Services</t>
  </si>
  <si>
    <t>DAWSON</t>
  </si>
  <si>
    <t>1282 Walnut Street</t>
  </si>
  <si>
    <t>Essentia Health - Deer River</t>
  </si>
  <si>
    <t>115 10th Ave NE</t>
  </si>
  <si>
    <t>Sanford Health DL Surgery</t>
  </si>
  <si>
    <t>St. Mary's Regional Health Center</t>
  </si>
  <si>
    <t>1027 Washington Ave</t>
  </si>
  <si>
    <t>Bureau of Prisons - FPC</t>
  </si>
  <si>
    <t>4464 Ralston Drive</t>
  </si>
  <si>
    <t>Duluth Surgical Suites, LLC</t>
  </si>
  <si>
    <t>2118 London Road</t>
  </si>
  <si>
    <t>Essentia Health Duluth</t>
  </si>
  <si>
    <t>502 East Second Street</t>
  </si>
  <si>
    <t>Essentia Health St. Mary's Medical Center</t>
  </si>
  <si>
    <t>407 East Third Street</t>
  </si>
  <si>
    <t>Essentia Health Surgery Center</t>
  </si>
  <si>
    <t>1600 Miller Trunk Highway</t>
  </si>
  <si>
    <t>Lakewalk Surgery Center, Inc.</t>
  </si>
  <si>
    <t>1420 London Road</t>
  </si>
  <si>
    <t>915 E First Street</t>
  </si>
  <si>
    <t>Cliff Lake Dental Care</t>
  </si>
  <si>
    <t>1960 Cliff Lake Road</t>
  </si>
  <si>
    <t>Eagan Orthopedic Surgery Center</t>
  </si>
  <si>
    <t>Eagan Surgery Center</t>
  </si>
  <si>
    <t>Midwest Surgery Center - Eagan</t>
  </si>
  <si>
    <t>2975 Holiday Lane</t>
  </si>
  <si>
    <t>MNGI Endoscopy ASC Inc. - Eagan</t>
  </si>
  <si>
    <t>1185 Town Center Drive</t>
  </si>
  <si>
    <t>Assoc. Oral &amp; Max Surgeons, PA - Eden Prairie</t>
  </si>
  <si>
    <t>11800 Single Tree Lane</t>
  </si>
  <si>
    <t>Moxie Center - Eden Prairie dba Pearl Veterinary Partners</t>
  </si>
  <si>
    <t>7717 Flying Cloud Drive</t>
  </si>
  <si>
    <t>Omega Dental Care, PA</t>
  </si>
  <si>
    <t>6203 Dell Road</t>
  </si>
  <si>
    <t>Allina Health Minneapolis Heart Institute Surgery Center</t>
  </si>
  <si>
    <t>CCRM Minneapolis</t>
  </si>
  <si>
    <t>6565 France Avenue South</t>
  </si>
  <si>
    <t>CRL Imaging - Southdale</t>
  </si>
  <si>
    <t>6525 France Avenue South</t>
  </si>
  <si>
    <t>Crosstown Surgery Center LLC</t>
  </si>
  <si>
    <t>Edina Surgery Center</t>
  </si>
  <si>
    <t>Fairview Clinic</t>
  </si>
  <si>
    <t>Fairview University School of Radiologic Technology</t>
  </si>
  <si>
    <t>3400 66th Street West</t>
  </si>
  <si>
    <t>McCannel Eye Surgery, LLC</t>
  </si>
  <si>
    <t>3124 West 70th Street</t>
  </si>
  <si>
    <t>M Health Fairview Southdale Hospital</t>
  </si>
  <si>
    <t>6401 France Avenue South</t>
  </si>
  <si>
    <t>Minneapolis Clinic of Neurology - Edina</t>
  </si>
  <si>
    <t>3400 West 66th Street</t>
  </si>
  <si>
    <t>Minneapolis Orthopaedics, Ltd. - Edina</t>
  </si>
  <si>
    <t>8100 West 78th Street</t>
  </si>
  <si>
    <t>Nura Surgical Center, LLC</t>
  </si>
  <si>
    <t>7400 France Avenue</t>
  </si>
  <si>
    <t>4940 Viking Drive</t>
  </si>
  <si>
    <t>SouthHealth ASC, LLC dba Edina Specialty Surgery Center</t>
  </si>
  <si>
    <t>Southwest Surgery Center</t>
  </si>
  <si>
    <t>Twin Cities Surgery Center</t>
  </si>
  <si>
    <t>7211 Ohms Lane</t>
  </si>
  <si>
    <t>Prairie Ridge Hospital and Health Services</t>
  </si>
  <si>
    <t>ELBOW LAKE</t>
  </si>
  <si>
    <t>1411 HIGHWAY 79 E</t>
  </si>
  <si>
    <t>Ely-Bloomenson Community Hospital</t>
  </si>
  <si>
    <t>328 W. Conan St.</t>
  </si>
  <si>
    <t>Cargill, Inc.</t>
  </si>
  <si>
    <t>EXCELSIOR</t>
  </si>
  <si>
    <t>2500 Shadywood Road</t>
  </si>
  <si>
    <t>Mayo Clinic Health System in Fairmont</t>
  </si>
  <si>
    <t>800 Medical Center Drive</t>
  </si>
  <si>
    <t>South Central Surgical Center, LLC</t>
  </si>
  <si>
    <t>Allina Health Faribault Medical Center</t>
  </si>
  <si>
    <t>Crossroads Surgery Center Inc.</t>
  </si>
  <si>
    <t>1575 20th Street NW</t>
  </si>
  <si>
    <t>Community Behavioral Health Hospital - Fergus Falls</t>
  </si>
  <si>
    <t>FERGUS FALLS</t>
  </si>
  <si>
    <t>1801 West Aicott Avenue</t>
  </si>
  <si>
    <t>Lake Region Healthcare</t>
  </si>
  <si>
    <t>712 S Cascade St</t>
  </si>
  <si>
    <t>Essentia Health - Fosston</t>
  </si>
  <si>
    <t>FOSSTON</t>
  </si>
  <si>
    <t>900 Hilligoss Blvd SE</t>
  </si>
  <si>
    <t>Unity Hospital</t>
  </si>
  <si>
    <t>FRIDLEY</t>
  </si>
  <si>
    <t>550 Osborne Road NE</t>
  </si>
  <si>
    <t>Glencoe Regional Health</t>
  </si>
  <si>
    <t>1805 Hennepin Avenue N</t>
  </si>
  <si>
    <t>Glacial Ridge Health System</t>
  </si>
  <si>
    <t>10 4th Ave. SE</t>
  </si>
  <si>
    <t>Regency Hospital of Minneapolis</t>
  </si>
  <si>
    <t>1300 Hidden Lakes Parkway</t>
  </si>
  <si>
    <t>Essentia Health - Graceville</t>
  </si>
  <si>
    <t>GRACEVILLE</t>
  </si>
  <si>
    <t>115 West 2nd Street</t>
  </si>
  <si>
    <t>North Shore Health</t>
  </si>
  <si>
    <t>GRAND MARAIS</t>
  </si>
  <si>
    <t>515 - 5TH AVENUE WEST</t>
  </si>
  <si>
    <t>Grand Itasca Clinic and Hospital</t>
  </si>
  <si>
    <t>Lakewood Surgery Center</t>
  </si>
  <si>
    <t>Avera Granite Falls</t>
  </si>
  <si>
    <t>345 Tenth Ave</t>
  </si>
  <si>
    <t>Kittson Memorial Healthcare Center</t>
  </si>
  <si>
    <t>United Hospital – Hastings Regina Campus</t>
  </si>
  <si>
    <t>HASTINGS</t>
  </si>
  <si>
    <t>1175 Nininger Road</t>
  </si>
  <si>
    <t>Hendricks Community Hospital Association</t>
  </si>
  <si>
    <t>HENDRICKS</t>
  </si>
  <si>
    <t>503 East Lincoln Street</t>
  </si>
  <si>
    <t>Fairview Range</t>
  </si>
  <si>
    <t>Hutchinson Health</t>
  </si>
  <si>
    <t>1095 Highway 15 South</t>
  </si>
  <si>
    <t>Regional Eye Surgery Center Inc.</t>
  </si>
  <si>
    <t>1455 Montreal Street SE</t>
  </si>
  <si>
    <t>Rainy Lake Medical Center</t>
  </si>
  <si>
    <t>Sanford Jackson Medical Center</t>
  </si>
  <si>
    <t>JACKSON</t>
  </si>
  <si>
    <t>1430 North Highway</t>
  </si>
  <si>
    <t>Mayo Clinic Health System in Lake City</t>
  </si>
  <si>
    <t>LAKE CITY</t>
  </si>
  <si>
    <t>500 West Grant Street</t>
  </si>
  <si>
    <t>High Pointe Surgery Center</t>
  </si>
  <si>
    <t>8650 Hudson Boulevard</t>
  </si>
  <si>
    <t>Allina Health Surgery Center  - Lakeville</t>
  </si>
  <si>
    <t>Ridgeview Le Sueur Medical Center</t>
  </si>
  <si>
    <t>LE SUEUR</t>
  </si>
  <si>
    <t>621 South Fourth Street</t>
  </si>
  <si>
    <t>Meeker Memorial Hospital</t>
  </si>
  <si>
    <t>CHI St. Gabriel's Health</t>
  </si>
  <si>
    <t>815 2nd Street Southeast</t>
  </si>
  <si>
    <t>CentraCare Health System - Long Prairie</t>
  </si>
  <si>
    <t>50 CentraCare Drive</t>
  </si>
  <si>
    <t>Sanford Luverne Medical Center</t>
  </si>
  <si>
    <t>LUVERNE</t>
  </si>
  <si>
    <t>1600 North Kniss Avenue</t>
  </si>
  <si>
    <t>Madelia Health</t>
  </si>
  <si>
    <t>MADELIA</t>
  </si>
  <si>
    <t>121 Drew Avenue Southeast</t>
  </si>
  <si>
    <t>Madison Hospital</t>
  </si>
  <si>
    <t>Mahnomen Health Center</t>
  </si>
  <si>
    <t>Mankato Clinic Endoscopy Center</t>
  </si>
  <si>
    <t xml:space="preserve">Mankato Surgical Center LLC, dba Mankato Surgery Center </t>
  </si>
  <si>
    <t>1411 Premier Drive</t>
  </si>
  <si>
    <t>Mayo Cancer Center - ISJ</t>
  </si>
  <si>
    <t>Mayo Clinic Health System in Mankato</t>
  </si>
  <si>
    <t>Pain Centers of Minnesota - Mankato</t>
  </si>
  <si>
    <t>1400 East Madison Avenue</t>
  </si>
  <si>
    <t>Center for Restorative Surgery at Maple Grove, LLC</t>
  </si>
  <si>
    <t>13601 80th Circle North</t>
  </si>
  <si>
    <t>Fairview Maple Grove Surgery Center</t>
  </si>
  <si>
    <t>Maple Grove Hospital</t>
  </si>
  <si>
    <t>9875 Hospital Drive</t>
  </si>
  <si>
    <t>Metropolitan Surgical Center, LLC</t>
  </si>
  <si>
    <t>9645 Grove Circle North</t>
  </si>
  <si>
    <t>Minneapolis Clinic of Neurology - Maple Grove</t>
  </si>
  <si>
    <t>MNGI ASC - Maple Grove</t>
  </si>
  <si>
    <t>North Memorial Ambulatory Surgery</t>
  </si>
  <si>
    <t>HealthEast - Maplewood Surgery Center, LLC</t>
  </si>
  <si>
    <t>2945 Hazelwood Street</t>
  </si>
  <si>
    <t>M Health Fairview St. John's Hospital</t>
  </si>
  <si>
    <t>1575 Beam Avenue</t>
  </si>
  <si>
    <t>2785 White Bear Avenue North</t>
  </si>
  <si>
    <t>St. Paul Cardiology, PA</t>
  </si>
  <si>
    <t>1675 Beam Avenue</t>
  </si>
  <si>
    <t>Avera Marshall Regional Medical Center</t>
  </si>
  <si>
    <t>300 South Bruce Street</t>
  </si>
  <si>
    <t>Sandford Clinic Outreach - Marshall</t>
  </si>
  <si>
    <t>Southwest Minnesota Surgery Center</t>
  </si>
  <si>
    <t>CentraCare Health - Melrose</t>
  </si>
  <si>
    <t>525 Main Street West</t>
  </si>
  <si>
    <t>Surgical Training Solutions</t>
  </si>
  <si>
    <t>MENDOTA HEIGHTS</t>
  </si>
  <si>
    <t>2520 Lexington Avenue</t>
  </si>
  <si>
    <t>Central Minnesota Diagnostic, Inc - Mobile SPECT Route A</t>
  </si>
  <si>
    <t>Abbott Northwestern Hospital</t>
  </si>
  <si>
    <t>Children's Minnesota</t>
  </si>
  <si>
    <t>2525 Chicago Avenue South</t>
  </si>
  <si>
    <t>Greenway Surgical Suites, LLC</t>
  </si>
  <si>
    <t>2020 East 28th Street</t>
  </si>
  <si>
    <t>Hennepin Healthcare</t>
  </si>
  <si>
    <t>701 Park Avenue</t>
  </si>
  <si>
    <t>M Health Fairview University of Minnesota Medical Center</t>
  </si>
  <si>
    <t>2450 Riverside Avenue</t>
  </si>
  <si>
    <t>M Health University of Minnesota Medical Center CV Imaging</t>
  </si>
  <si>
    <t>500 Harvard Street SE</t>
  </si>
  <si>
    <t>Phillips Eye Institute</t>
  </si>
  <si>
    <t>2215 Park Avenue</t>
  </si>
  <si>
    <t>University of Minnesota - College of Veterinary Medicine</t>
  </si>
  <si>
    <t>410 Church Street SE</t>
  </si>
  <si>
    <t>University of Minnesota  - Research Department</t>
  </si>
  <si>
    <t>University of Minnesota - University Imaging Centers</t>
  </si>
  <si>
    <t>2231 Sixth Street SE</t>
  </si>
  <si>
    <t>University of MN - Center for Magnetic Resonance Research</t>
  </si>
  <si>
    <t>U of M AFPC - Smiley's Clinic</t>
  </si>
  <si>
    <t>2020 East 28th Streeet</t>
  </si>
  <si>
    <t>Veterans Affairs Medical Center</t>
  </si>
  <si>
    <t>One Veterans Drive</t>
  </si>
  <si>
    <t>IMRIS, Inc.</t>
  </si>
  <si>
    <t>5101 Shady Oak Road</t>
  </si>
  <si>
    <t>Minnesota Eye Laser &amp; Surgery</t>
  </si>
  <si>
    <t>10709 Wayzata Boulevard</t>
  </si>
  <si>
    <t>Minnetonka Ambulatory Surgery Center</t>
  </si>
  <si>
    <t>CCM Health</t>
  </si>
  <si>
    <t>824 N. 11th St.</t>
  </si>
  <si>
    <t>CentraCare - Monticello</t>
  </si>
  <si>
    <t>Monticello Cancer Center</t>
  </si>
  <si>
    <t>1001 Hart Boulevard</t>
  </si>
  <si>
    <t>Essentia Health Moose Lake</t>
  </si>
  <si>
    <t>4572 County Road 61</t>
  </si>
  <si>
    <t>Northern Lakes Surgery Center LLC</t>
  </si>
  <si>
    <t>4791 County Road 10</t>
  </si>
  <si>
    <t>301 South Hwy 65</t>
  </si>
  <si>
    <t>Stevens Community Medical Center</t>
  </si>
  <si>
    <t>MORRIS</t>
  </si>
  <si>
    <t>400 East First Street</t>
  </si>
  <si>
    <t>Minnesota Vascular Surgery Center</t>
  </si>
  <si>
    <t>NEW BRIGHTON</t>
  </si>
  <si>
    <t>600 County Road D</t>
  </si>
  <si>
    <t>Mayo Clinic Health System in New Prague</t>
  </si>
  <si>
    <t>NEW PRAGUE</t>
  </si>
  <si>
    <t>301 Second Street Northeast</t>
  </si>
  <si>
    <t>New Ulm Medical Center</t>
  </si>
  <si>
    <t>1324 Fifth Street N</t>
  </si>
  <si>
    <t>Mayo Clinic Radiation Therapy Center - Northfield</t>
  </si>
  <si>
    <t>1821 North Avenue</t>
  </si>
  <si>
    <t>Northfield Hospital &amp; Clinics</t>
  </si>
  <si>
    <t>2000 North Avenue</t>
  </si>
  <si>
    <t>Edgar Jimenez Dental Studio</t>
  </si>
  <si>
    <t>NORTH OAKS</t>
  </si>
  <si>
    <t>889 Village Center Drive</t>
  </si>
  <si>
    <t>Animal Emergency and Referral Center - Oakdale</t>
  </si>
  <si>
    <t>OAKDALE</t>
  </si>
  <si>
    <t>1163 Helmo Avenue North</t>
  </si>
  <si>
    <t>Olivia Hospital &amp; Clinic</t>
  </si>
  <si>
    <t>OLIVIA</t>
  </si>
  <si>
    <t>100 Healthy Way</t>
  </si>
  <si>
    <t>Mille Lacs Health System</t>
  </si>
  <si>
    <t>200 North Elm Street</t>
  </si>
  <si>
    <t>Ortonville Area Health Services</t>
  </si>
  <si>
    <t>Owatonna Hospital</t>
  </si>
  <si>
    <t>2250 NW 26th Street</t>
  </si>
  <si>
    <t>CHI St. Joseph's Health</t>
  </si>
  <si>
    <t>CentraCare - Paynesville</t>
  </si>
  <si>
    <t>Perham Health</t>
  </si>
  <si>
    <t>1000 Coney Street West</t>
  </si>
  <si>
    <t>Pine City Clinic</t>
  </si>
  <si>
    <t>510 Second Street</t>
  </si>
  <si>
    <t>Pipestone County Medical Center</t>
  </si>
  <si>
    <t>916 Fourth Ave S.W.</t>
  </si>
  <si>
    <t>Camden Physicians</t>
  </si>
  <si>
    <t>9800 Rockford Road</t>
  </si>
  <si>
    <t>i-Health Collaborative - Vascular Interventional Experts - Plymouth</t>
  </si>
  <si>
    <t>2855 Campus Drive</t>
  </si>
  <si>
    <t>MNGI Endoscopy ASC Inc. - Plymouth</t>
  </si>
  <si>
    <t>Plymouth Orthopedic Surgery Center</t>
  </si>
  <si>
    <t>Plymouth Surgery Center</t>
  </si>
  <si>
    <t>WestHealth Surgery Center</t>
  </si>
  <si>
    <t>M Health Fairview Northland Medical Center</t>
  </si>
  <si>
    <t>Midwest Medical Examiners Office</t>
  </si>
  <si>
    <t>14341 Rhinestone Street NW</t>
  </si>
  <si>
    <t>US Public Health Service - Red Lake</t>
  </si>
  <si>
    <t>RED LAKE</t>
  </si>
  <si>
    <t>Highway 1</t>
  </si>
  <si>
    <t>Mayo Clinic Health System in Red Wing</t>
  </si>
  <si>
    <t>RED WING</t>
  </si>
  <si>
    <t>701 Hewitt Boulevard</t>
  </si>
  <si>
    <t>Carris Health - Redwood</t>
  </si>
  <si>
    <t>103 Caring Way</t>
  </si>
  <si>
    <t>Richmond Area Medical Clinic</t>
  </si>
  <si>
    <t>RICHMOND</t>
  </si>
  <si>
    <t>off site location for Paynesville hospital</t>
  </si>
  <si>
    <t>North Memorial Health Hospital</t>
  </si>
  <si>
    <t>3300 Oakdale Avenue North</t>
  </si>
  <si>
    <t>North Memorial Outpatient</t>
  </si>
  <si>
    <t>3435 West Broadway</t>
  </si>
  <si>
    <t>North Radiation Therapy Center, LLC</t>
  </si>
  <si>
    <t>Bureau of Prisons - FMC</t>
  </si>
  <si>
    <t>2110 East Center Street</t>
  </si>
  <si>
    <t>Community Behavioral Health Hospital - Rochester</t>
  </si>
  <si>
    <t>251 Wood Lake Drive SE</t>
  </si>
  <si>
    <t>Mayo Cancer Center - Rochester</t>
  </si>
  <si>
    <t>200 First Street South</t>
  </si>
  <si>
    <t>Mayo Clinic Hospital - Rochester</t>
  </si>
  <si>
    <t>1216 Second Street Southwest</t>
  </si>
  <si>
    <t>Mayo Clinic Hospital - Rochester (Methodist Campus)</t>
  </si>
  <si>
    <t>201 West Center Street</t>
  </si>
  <si>
    <t>Olmsted Medical Center</t>
  </si>
  <si>
    <t>Richard Cohen Dentistry</t>
  </si>
  <si>
    <t>2112 Viking Drive NW</t>
  </si>
  <si>
    <t>LifeCare Medical Center</t>
  </si>
  <si>
    <t>Essentia Health - Sandstone</t>
  </si>
  <si>
    <t>SANDSTONE</t>
  </si>
  <si>
    <t>705 Lundorff Drive</t>
  </si>
  <si>
    <t>Center for Pain Management Ambulatory Surgery - Sartell</t>
  </si>
  <si>
    <t>804 23rd Street South</t>
  </si>
  <si>
    <t>CentraCare - Sauk Centre</t>
  </si>
  <si>
    <t>Allina Medical Clinic - Savage Urgent Care</t>
  </si>
  <si>
    <t>Dental Associates - Savage</t>
  </si>
  <si>
    <t>13899 Highway 13</t>
  </si>
  <si>
    <t>Allina Medical Clinic - Shakopee</t>
  </si>
  <si>
    <t>1601 St. Francis Avenue</t>
  </si>
  <si>
    <t>St. Francis Regional Medical Center</t>
  </si>
  <si>
    <t>1455 St. Francis Avenue</t>
  </si>
  <si>
    <t>Murray County Medical Center</t>
  </si>
  <si>
    <t>2042 Juniper Avenue</t>
  </si>
  <si>
    <t>Sleepy Eye Medical Center</t>
  </si>
  <si>
    <t>Advanced Spine Associates, P.A.</t>
  </si>
  <si>
    <t>SPRING LAKE PARK</t>
  </si>
  <si>
    <t>8232 Highway 65 NE</t>
  </si>
  <si>
    <t>Lakewood Health System</t>
  </si>
  <si>
    <t>CentraCare - St. Cloud Hospital</t>
  </si>
  <si>
    <t>1406 6th Avenue North</t>
  </si>
  <si>
    <t>Centracare Surgery Center, LLC</t>
  </si>
  <si>
    <t xml:space="preserve">1900 Centracare Circle  </t>
  </si>
  <si>
    <t>Central Minnesota Pediatric Dentists, PA - St. Cloud</t>
  </si>
  <si>
    <t>1900 CentraCare Circle</t>
  </si>
  <si>
    <t>Coborns Cancer Center</t>
  </si>
  <si>
    <t>1900 Centra Care Circle</t>
  </si>
  <si>
    <t>St. Cloud Center for Ophthalmic Surgery</t>
  </si>
  <si>
    <t>2055 15th Street North</t>
  </si>
  <si>
    <t>St. Cloud Outpatient Surgery, Ltd.</t>
  </si>
  <si>
    <t>1526 Northway Drive</t>
  </si>
  <si>
    <t>Veterans Affairs Health Care System</t>
  </si>
  <si>
    <t>4801 Veterans Drive</t>
  </si>
  <si>
    <t>Associated Eye Care Ambulatory Surgery Center, LLC</t>
  </si>
  <si>
    <t>2950 Curve Crest Boulevard West</t>
  </si>
  <si>
    <t>Lakeview Hospital</t>
  </si>
  <si>
    <t>927 West Churchill Street</t>
  </si>
  <si>
    <t xml:space="preserve">Valley Dental Arts, Inc.           </t>
  </si>
  <si>
    <t>1745 Northwestern Avenue</t>
  </si>
  <si>
    <t>Mayo Clinic Health System in St. James</t>
  </si>
  <si>
    <t>ST. JAMES</t>
  </si>
  <si>
    <t>1101 Moulton &amp; Parsons Drive</t>
  </si>
  <si>
    <t>CDI Twin Cities ASC, LLC</t>
  </si>
  <si>
    <t>Jane Brattain Breast Center - Park Nicollet Clinic</t>
  </si>
  <si>
    <t>3850 Park Nicollet Boulevard</t>
  </si>
  <si>
    <t>Metro Injury</t>
  </si>
  <si>
    <t>2460 Hwy 100 South</t>
  </si>
  <si>
    <t>Park Nicollet Methodist Hospital</t>
  </si>
  <si>
    <t>Surgical Specialty Center of Minnesota</t>
  </si>
  <si>
    <t>Carly Lawson, DDS</t>
  </si>
  <si>
    <t>405 Sibley Street</t>
  </si>
  <si>
    <t>Children's Health Care dba Children's Hospitals and Clinics of Minnesota (St. Paul Campus)</t>
  </si>
  <si>
    <t>345 North Smith Avenue</t>
  </si>
  <si>
    <t>East Side Family Clinic</t>
  </si>
  <si>
    <t>860 Arcade Street</t>
  </si>
  <si>
    <t>Gillette Children's Specialty Healthcare</t>
  </si>
  <si>
    <t>200 East University Avenue</t>
  </si>
  <si>
    <t>HealthPartners Specialty Center</t>
  </si>
  <si>
    <t>401 Phalen Boulevard</t>
  </si>
  <si>
    <t>1821 St. Clair Avenue</t>
  </si>
  <si>
    <t>M Health Fairview Bethesda Hospital</t>
  </si>
  <si>
    <t>559 Capitol Blvd.</t>
  </si>
  <si>
    <t>Midway Health Care Services</t>
  </si>
  <si>
    <t>1919 University Avenue West, #105</t>
  </si>
  <si>
    <t>Minnesota Endoscopy Center LLC</t>
  </si>
  <si>
    <t>2635 University Avenue West</t>
  </si>
  <si>
    <t>1600 University Avenue West</t>
  </si>
  <si>
    <t>Regions Hospital</t>
  </si>
  <si>
    <t>640 Jackson Street</t>
  </si>
  <si>
    <t>Saint Joseph's Hospital</t>
  </si>
  <si>
    <t>69 West Exchange Street</t>
  </si>
  <si>
    <t>United Hospital</t>
  </si>
  <si>
    <t>333 North Smith Avenue</t>
  </si>
  <si>
    <t>West Side Health Center / La Clinica</t>
  </si>
  <si>
    <t>153 Cesar Chavez Street</t>
  </si>
  <si>
    <t>River's Edge Hospital &amp; Clinic</t>
  </si>
  <si>
    <t>1900 N. Sunrise Drive</t>
  </si>
  <si>
    <t>Sanford Behavioral Health Center</t>
  </si>
  <si>
    <t>120 Labree Ave South</t>
  </si>
  <si>
    <t>Sanford Thief River Falls Medical Center</t>
  </si>
  <si>
    <t>Sanford Tracy Medical Center</t>
  </si>
  <si>
    <t>TRACY</t>
  </si>
  <si>
    <t>251 5th Street E.</t>
  </si>
  <si>
    <t>Lake View Memorial Hospital</t>
  </si>
  <si>
    <t>TWO HARBORS</t>
  </si>
  <si>
    <t>325 11th Avenue</t>
  </si>
  <si>
    <t>Avera Tyler</t>
  </si>
  <si>
    <t>TYLER</t>
  </si>
  <si>
    <t>240 Willow Street</t>
  </si>
  <si>
    <t>Allina Health Surgery Center  - Vadnais Heights</t>
  </si>
  <si>
    <t>Midwest Spine Institute, LLC</t>
  </si>
  <si>
    <t>3640 Talmage Circle</t>
  </si>
  <si>
    <t>MNGI  ASC - Vadnais Heights</t>
  </si>
  <si>
    <t>3588 Arcade Street</t>
  </si>
  <si>
    <t>Vadnais Heights Surgery Center</t>
  </si>
  <si>
    <t>Essentia Health Virginia</t>
  </si>
  <si>
    <t>901 9th St. N.</t>
  </si>
  <si>
    <t>Northwoods Surgery Center LLC</t>
  </si>
  <si>
    <t>502 North Sixth Avenue West</t>
  </si>
  <si>
    <t>Saint Elizabeth's Medical Center</t>
  </si>
  <si>
    <t>WABASHA</t>
  </si>
  <si>
    <t>1200 Fifth Grant Boulevard West</t>
  </si>
  <si>
    <t>Ridgeview Medical Center</t>
  </si>
  <si>
    <t>500 South Maple Street</t>
  </si>
  <si>
    <t>Astera Health</t>
  </si>
  <si>
    <t>421 11th Street NW</t>
  </si>
  <si>
    <t>Lone Oak Family Dentistry</t>
  </si>
  <si>
    <t>WARREN</t>
  </si>
  <si>
    <t>205 West Johnson Avenue</t>
  </si>
  <si>
    <t>North Valley Health Center</t>
  </si>
  <si>
    <t>300 West Good Samaritan Drive</t>
  </si>
  <si>
    <t>Bureau of Prisons - FCI</t>
  </si>
  <si>
    <t>WASECA</t>
  </si>
  <si>
    <t>1000 University Drive SW</t>
  </si>
  <si>
    <t>Mayo Clinic Health System in Waseca</t>
  </si>
  <si>
    <t>501 N State Street</t>
  </si>
  <si>
    <t>Wayzata Surgical Center</t>
  </si>
  <si>
    <t>935 Wayzata Boulevard East</t>
  </si>
  <si>
    <t>Sanford Westbrook Medical Center</t>
  </si>
  <si>
    <t>WESTBROOK</t>
  </si>
  <si>
    <t>920 Bell Avenue</t>
  </si>
  <si>
    <t>WEST ST. PAUL</t>
  </si>
  <si>
    <t>33 East Wentworth Avenue</t>
  </si>
  <si>
    <t>Sanford Wheaton Medical Center</t>
  </si>
  <si>
    <t>PHS Indian Health Service</t>
  </si>
  <si>
    <t>WHITE EARTH</t>
  </si>
  <si>
    <t>White Earth, PHS 40520 County Highway 34</t>
  </si>
  <si>
    <t>Carris Health - Rice Memorial Hospital</t>
  </si>
  <si>
    <t>301 Becker Avenue Southwest</t>
  </si>
  <si>
    <t>Community Adolescent Behavioral Health Services</t>
  </si>
  <si>
    <t>1701 Technology Drive NE</t>
  </si>
  <si>
    <t>Family Surgery Center, LLC</t>
  </si>
  <si>
    <t>Willmar Surgery Center, LLP</t>
  </si>
  <si>
    <t>1310 First Street South</t>
  </si>
  <si>
    <t>Windom Area Health</t>
  </si>
  <si>
    <t>WINDOM</t>
  </si>
  <si>
    <t>2150 Hospital Drive</t>
  </si>
  <si>
    <t>Winona Health Services</t>
  </si>
  <si>
    <t>855 Mankato Ave.</t>
  </si>
  <si>
    <t>Center for Diagnostic Imaging</t>
  </si>
  <si>
    <t>HealthEast Woodwinds Hospital</t>
  </si>
  <si>
    <t>1925 Woodwinds Drive</t>
  </si>
  <si>
    <t>Landmark Surgery Center</t>
  </si>
  <si>
    <t>Midwest Surgery Center</t>
  </si>
  <si>
    <t>2080 Woodwinds Drive</t>
  </si>
  <si>
    <t>Minnesota Eye Laser &amp; Surgery Centers, LLC</t>
  </si>
  <si>
    <t>7125 Tamarack Road</t>
  </si>
  <si>
    <t>MNGI Endoscopy ASC, Inc - Woodbury</t>
  </si>
  <si>
    <t>1875 Woodwinds Drive</t>
  </si>
  <si>
    <t>TRIA Orthopaedic Woodbury ASC</t>
  </si>
  <si>
    <t>Woodbury Surgery Center</t>
  </si>
  <si>
    <t>587 Bielenberg Drive</t>
  </si>
  <si>
    <t>Sanford Worthington Medical Center</t>
  </si>
  <si>
    <t>1018 Sixth Avenue</t>
  </si>
  <si>
    <t>M Health Fairview Lakes Medical Center</t>
  </si>
  <si>
    <t>5160 Fairview Boulevard, Suite 1100</t>
  </si>
  <si>
    <t>Regents of UM/Boise Forte Clinic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</si>
</sst>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5" formatCode="&quot;$&quot;#,##0_);\(&quot;$&quot;#,##0\)"/>
    <numFmt numFmtId="44" formatCode="_(&quot;$&quot;* #,##0.00_);_(&quot;$&quot;* \(#,##0.00\);_(&quot;$&quot;* &quot;-&quot;??_);_(@_)"/>
    <numFmt numFmtId="43" formatCode="_(* #,##0.00_);_(* \(#,##0.00\);_(* &quot;-&quot;??_);_(@_)"/>
    <numFmt numFmtId="164" formatCode="0000"/>
    <numFmt numFmtId="165" formatCode="mm/dd/yy"/>
    <numFmt numFmtId="166" formatCode="_(* #,##0_);_(* \(#,##0\);_(* &quot;-&quot;??_);_(@_)"/>
    <numFmt numFmtId="167" formatCode="_(&quot;$&quot;* #,##0_);_(&quot;$&quot;* \(#,##0\);_(&quot;$&quot;* &quot;-&quot;??_);_(@_)"/>
    <numFmt numFmtId="168" formatCode="&quot;$&quot;#,##0"/>
    <numFmt numFmtId="169" formatCode="[&lt;=9999999]###\-####;###\-###\-####"/>
    <numFmt numFmtId="170" formatCode="m/d/yyyy;@"/>
    <numFmt numFmtId="171" formatCode="m/dd/yy;@"/>
    <numFmt numFmtId="172" formatCode="m/d/yy;@"/>
    <numFmt numFmtId="173" formatCode="#,##0.0"/>
    <numFmt numFmtId="174" formatCode="mm/dd/yyyy"/>
    <numFmt numFmtId="175" formatCode="mm/dd/yyyy;@"/>
  </numFmts>
  <fonts count="94" x14ac:knownFonts="1">
    <font>
      <sz val="10"/>
      <name val="Arial"/>
    </font>
    <font>
      <u/>
      <sz val="10"/>
      <color indexed="12"/>
      <name val="Arial"/>
      <family val="2"/>
    </font>
    <font>
      <b/>
      <sz val="10"/>
      <name val="Arial"/>
      <family val="2"/>
    </font>
    <font>
      <sz val="10"/>
      <name val="Arial"/>
      <family val="2"/>
    </font>
    <font>
      <u/>
      <sz val="10"/>
      <color indexed="12"/>
      <name val="Arial"/>
      <family val="2"/>
    </font>
    <font>
      <b/>
      <sz val="9"/>
      <name val="Arial"/>
      <family val="2"/>
    </font>
    <font>
      <sz val="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Calibri"/>
      <family val="2"/>
    </font>
    <font>
      <b/>
      <sz val="10"/>
      <name val="Calibri"/>
      <family val="2"/>
    </font>
    <font>
      <b/>
      <sz val="10"/>
      <color indexed="10"/>
      <name val="Calibri"/>
      <family val="2"/>
    </font>
    <font>
      <u/>
      <sz val="10"/>
      <color indexed="12"/>
      <name val="Calibri"/>
      <family val="2"/>
    </font>
    <font>
      <b/>
      <i/>
      <sz val="10"/>
      <name val="Calibri"/>
      <family val="2"/>
    </font>
    <font>
      <b/>
      <sz val="10"/>
      <color indexed="16"/>
      <name val="Calibri"/>
      <family val="2"/>
    </font>
    <font>
      <b/>
      <u/>
      <sz val="10"/>
      <color indexed="12"/>
      <name val="Calibri"/>
      <family val="2"/>
    </font>
    <font>
      <sz val="10"/>
      <color indexed="10"/>
      <name val="Calibri"/>
      <family val="2"/>
    </font>
    <font>
      <sz val="10"/>
      <color indexed="16"/>
      <name val="Calibri"/>
      <family val="2"/>
    </font>
    <font>
      <b/>
      <i/>
      <sz val="10"/>
      <color indexed="16"/>
      <name val="Calibri"/>
      <family val="2"/>
    </font>
    <font>
      <b/>
      <u/>
      <sz val="8"/>
      <color indexed="12"/>
      <name val="Calibri"/>
      <family val="2"/>
    </font>
    <font>
      <sz val="11"/>
      <color theme="1"/>
      <name val="Arial"/>
      <family val="2"/>
    </font>
    <font>
      <sz val="11"/>
      <color theme="1"/>
      <name val="Calibri"/>
      <family val="2"/>
      <scheme val="minor"/>
    </font>
    <font>
      <b/>
      <sz val="10"/>
      <color rgb="FFFF0000"/>
      <name val="Arial"/>
      <family val="2"/>
    </font>
    <font>
      <sz val="11"/>
      <name val="Calibri"/>
      <family val="2"/>
      <scheme val="minor"/>
    </font>
    <font>
      <sz val="10"/>
      <name val="Calibri"/>
      <family val="2"/>
      <scheme val="minor"/>
    </font>
    <font>
      <b/>
      <sz val="16"/>
      <name val="Calibri"/>
      <family val="2"/>
      <scheme val="minor"/>
    </font>
    <font>
      <b/>
      <sz val="10"/>
      <name val="Calibri"/>
      <family val="2"/>
      <scheme val="minor"/>
    </font>
    <font>
      <b/>
      <sz val="10"/>
      <color indexed="10"/>
      <name val="Calibri"/>
      <family val="2"/>
      <scheme val="minor"/>
    </font>
    <font>
      <b/>
      <sz val="10"/>
      <color rgb="FFFF0000"/>
      <name val="Calibri"/>
      <family val="2"/>
      <scheme val="minor"/>
    </font>
    <font>
      <b/>
      <sz val="10"/>
      <color theme="5" tint="-0.249977111117893"/>
      <name val="Calibri"/>
      <family val="2"/>
      <scheme val="minor"/>
    </font>
    <font>
      <sz val="10"/>
      <color theme="1"/>
      <name val="Calibri"/>
      <family val="2"/>
      <scheme val="minor"/>
    </font>
    <font>
      <b/>
      <sz val="10"/>
      <color theme="1"/>
      <name val="Calibri"/>
      <family val="2"/>
      <scheme val="minor"/>
    </font>
    <font>
      <sz val="12"/>
      <name val="Calibri"/>
      <family val="2"/>
      <scheme val="minor"/>
    </font>
    <font>
      <u/>
      <sz val="10"/>
      <color indexed="12"/>
      <name val="Calibri"/>
      <family val="2"/>
      <scheme val="minor"/>
    </font>
    <font>
      <sz val="10"/>
      <color theme="0"/>
      <name val="Calibri"/>
      <family val="2"/>
      <scheme val="minor"/>
    </font>
    <font>
      <sz val="10"/>
      <color indexed="10"/>
      <name val="Calibri"/>
      <family val="2"/>
      <scheme val="minor"/>
    </font>
    <font>
      <b/>
      <sz val="10"/>
      <color indexed="16"/>
      <name val="Calibri"/>
      <family val="2"/>
      <scheme val="minor"/>
    </font>
    <font>
      <sz val="10"/>
      <color rgb="FF7030A0"/>
      <name val="Calibri"/>
      <family val="2"/>
      <scheme val="minor"/>
    </font>
    <font>
      <u/>
      <sz val="10"/>
      <name val="Calibri"/>
      <family val="2"/>
      <scheme val="minor"/>
    </font>
    <font>
      <sz val="20"/>
      <name val="Calibri"/>
      <family val="2"/>
      <scheme val="minor"/>
    </font>
    <font>
      <b/>
      <sz val="12"/>
      <color rgb="FFFF0000"/>
      <name val="Calibri"/>
      <family val="2"/>
      <scheme val="minor"/>
    </font>
    <font>
      <b/>
      <sz val="10"/>
      <color rgb="FF800000"/>
      <name val="Calibri"/>
      <family val="2"/>
      <scheme val="minor"/>
    </font>
    <font>
      <b/>
      <sz val="10"/>
      <color theme="0"/>
      <name val="Calibri"/>
      <family val="2"/>
      <scheme val="minor"/>
    </font>
    <font>
      <b/>
      <u/>
      <sz val="10"/>
      <color indexed="12"/>
      <name val="Calibri"/>
      <family val="2"/>
      <scheme val="minor"/>
    </font>
    <font>
      <sz val="10"/>
      <color indexed="16"/>
      <name val="Calibri"/>
      <family val="2"/>
      <scheme val="minor"/>
    </font>
    <font>
      <b/>
      <sz val="11"/>
      <color indexed="16"/>
      <name val="Calibri"/>
      <family val="2"/>
      <scheme val="minor"/>
    </font>
    <font>
      <b/>
      <sz val="11"/>
      <color rgb="FF800000"/>
      <name val="Calibri"/>
      <family val="2"/>
      <scheme val="minor"/>
    </font>
    <font>
      <sz val="8"/>
      <color rgb="FF800000"/>
      <name val="Calibri"/>
      <family val="2"/>
      <scheme val="minor"/>
    </font>
    <font>
      <b/>
      <sz val="11"/>
      <color indexed="10"/>
      <name val="Calibri"/>
      <family val="2"/>
      <scheme val="minor"/>
    </font>
    <font>
      <b/>
      <sz val="14"/>
      <name val="Calibri"/>
      <family val="2"/>
      <scheme val="minor"/>
    </font>
    <font>
      <b/>
      <sz val="18"/>
      <name val="Calibri"/>
      <family val="2"/>
      <scheme val="minor"/>
    </font>
    <font>
      <sz val="18"/>
      <name val="Calibri"/>
      <family val="2"/>
      <scheme val="minor"/>
    </font>
    <font>
      <b/>
      <sz val="20"/>
      <name val="Calibri"/>
      <family val="2"/>
      <scheme val="minor"/>
    </font>
    <font>
      <sz val="16"/>
      <name val="Calibri"/>
      <family val="2"/>
      <scheme val="minor"/>
    </font>
    <font>
      <b/>
      <sz val="8"/>
      <color indexed="10"/>
      <name val="Calibri"/>
      <family val="2"/>
      <scheme val="minor"/>
    </font>
    <font>
      <b/>
      <sz val="8"/>
      <name val="Calibri"/>
      <family val="2"/>
      <scheme val="minor"/>
    </font>
    <font>
      <sz val="10"/>
      <color indexed="8"/>
      <name val="Calibri"/>
      <family val="2"/>
      <scheme val="minor"/>
    </font>
    <font>
      <b/>
      <sz val="12"/>
      <color indexed="16"/>
      <name val="Calibri"/>
      <family val="2"/>
      <scheme val="minor"/>
    </font>
    <font>
      <sz val="10"/>
      <color rgb="FF800000"/>
      <name val="Calibri"/>
      <family val="2"/>
      <scheme val="minor"/>
    </font>
    <font>
      <b/>
      <u/>
      <sz val="11"/>
      <color indexed="12"/>
      <name val="Calibri"/>
      <family val="2"/>
      <scheme val="minor"/>
    </font>
    <font>
      <b/>
      <sz val="11"/>
      <name val="Calibri"/>
      <family val="2"/>
      <scheme val="minor"/>
    </font>
    <font>
      <sz val="10"/>
      <name val="Arial"/>
      <family val="2"/>
    </font>
    <font>
      <sz val="10"/>
      <color theme="0" tint="-4.9989318521683403E-2"/>
      <name val="Calibri"/>
      <family val="2"/>
      <scheme val="minor"/>
    </font>
    <font>
      <b/>
      <sz val="10"/>
      <color theme="0" tint="-4.9989318521683403E-2"/>
      <name val="Calibri"/>
      <family val="2"/>
      <scheme val="minor"/>
    </font>
    <font>
      <sz val="10"/>
      <color theme="0"/>
      <name val="Calibri"/>
      <family val="2"/>
    </font>
    <font>
      <sz val="10"/>
      <color theme="0" tint="-0.249977111117893"/>
      <name val="Calibri"/>
      <family val="2"/>
      <scheme val="minor"/>
    </font>
    <font>
      <sz val="10"/>
      <color theme="0" tint="-0.14999847407452621"/>
      <name val="Calibri"/>
      <family val="2"/>
      <scheme val="minor"/>
    </font>
    <font>
      <sz val="10"/>
      <color rgb="FF0000FF"/>
      <name val="Calibri"/>
      <family val="2"/>
    </font>
    <font>
      <b/>
      <u/>
      <sz val="12"/>
      <color indexed="12"/>
      <name val="Calibri"/>
      <family val="2"/>
    </font>
    <font>
      <b/>
      <i/>
      <sz val="12"/>
      <color indexed="16"/>
      <name val="Calibri"/>
      <family val="2"/>
      <scheme val="minor"/>
    </font>
    <font>
      <b/>
      <sz val="12"/>
      <color indexed="16"/>
      <name val="Calibri"/>
      <family val="2"/>
    </font>
    <font>
      <b/>
      <i/>
      <sz val="12"/>
      <color indexed="16"/>
      <name val="Calibri"/>
      <family val="2"/>
    </font>
    <font>
      <b/>
      <u/>
      <sz val="12"/>
      <color indexed="12"/>
      <name val="Calibri"/>
      <family val="2"/>
      <scheme val="minor"/>
    </font>
    <font>
      <u/>
      <sz val="12"/>
      <color indexed="12"/>
      <name val="Calibri"/>
      <family val="2"/>
      <scheme val="minor"/>
    </font>
    <font>
      <b/>
      <sz val="12"/>
      <color rgb="FF800000"/>
      <name val="Calibri"/>
      <family val="2"/>
      <scheme val="minor"/>
    </font>
    <font>
      <b/>
      <sz val="10"/>
      <color theme="0" tint="-0.249977111117893"/>
      <name val="Calibri"/>
      <family val="2"/>
      <scheme val="minor"/>
    </font>
    <font>
      <sz val="8"/>
      <color theme="0"/>
      <name val="Calibri"/>
      <family val="2"/>
      <scheme val="minor"/>
    </font>
    <font>
      <u/>
      <sz val="10"/>
      <color rgb="FF0000FF"/>
      <name val="Calibri"/>
      <family val="2"/>
      <scheme val="minor"/>
    </font>
    <font>
      <sz val="12"/>
      <color theme="0"/>
      <name val="Calibri"/>
      <family val="2"/>
      <scheme val="minor"/>
    </font>
  </fonts>
  <fills count="6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indexed="22"/>
        <bgColor indexed="64"/>
      </patternFill>
    </fill>
    <fill>
      <patternFill patternType="solid">
        <fgColor indexed="43"/>
        <bgColor indexed="64"/>
      </patternFill>
    </fill>
    <fill>
      <patternFill patternType="solid">
        <fgColor indexed="47"/>
        <bgColor indexed="64"/>
      </patternFill>
    </fill>
    <fill>
      <patternFill patternType="solid">
        <fgColor indexed="41"/>
        <bgColor indexed="64"/>
      </patternFill>
    </fill>
    <fill>
      <patternFill patternType="solid">
        <fgColor indexed="44"/>
        <bgColor indexed="64"/>
      </patternFill>
    </fill>
    <fill>
      <patternFill patternType="solid">
        <fgColor indexed="46"/>
        <bgColor indexed="64"/>
      </patternFill>
    </fill>
    <fill>
      <patternFill patternType="solid">
        <fgColor indexed="11"/>
        <bgColor indexed="64"/>
      </patternFill>
    </fill>
    <fill>
      <patternFill patternType="solid">
        <fgColor indexed="13"/>
        <bgColor indexed="64"/>
      </patternFill>
    </fill>
    <fill>
      <patternFill patternType="solid">
        <fgColor indexed="9"/>
        <bgColor indexed="64"/>
      </patternFill>
    </fill>
    <fill>
      <patternFill patternType="solid">
        <fgColor indexed="10"/>
        <bgColor indexed="64"/>
      </patternFill>
    </fill>
    <fill>
      <patternFill patternType="solid">
        <fgColor indexed="61"/>
        <bgColor indexed="64"/>
      </patternFill>
    </fill>
    <fill>
      <patternFill patternType="solid">
        <fgColor indexed="45"/>
        <bgColor indexed="64"/>
      </patternFill>
    </fill>
    <fill>
      <patternFill patternType="solid">
        <fgColor indexed="14"/>
        <bgColor indexed="64"/>
      </patternFill>
    </fill>
    <fill>
      <patternFill patternType="gray0625"/>
    </fill>
    <fill>
      <patternFill patternType="solid">
        <fgColor theme="2" tint="-9.9978637043366805E-2"/>
        <bgColor indexed="64"/>
      </patternFill>
    </fill>
    <fill>
      <patternFill patternType="solid">
        <fgColor theme="0"/>
        <bgColor indexed="64"/>
      </patternFill>
    </fill>
    <fill>
      <patternFill patternType="solid">
        <fgColor theme="2" tint="-0.249977111117893"/>
        <bgColor indexed="64"/>
      </patternFill>
    </fill>
    <fill>
      <patternFill patternType="solid">
        <fgColor rgb="FFDDDDDD"/>
        <bgColor indexed="64"/>
      </patternFill>
    </fill>
    <fill>
      <patternFill patternType="gray0625">
        <bgColor theme="0"/>
      </patternFill>
    </fill>
    <fill>
      <patternFill patternType="solid">
        <fgColor theme="9" tint="0.39997558519241921"/>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00FF00"/>
        <bgColor indexed="64"/>
      </patternFill>
    </fill>
    <fill>
      <patternFill patternType="solid">
        <fgColor rgb="FF92D050"/>
        <bgColor indexed="64"/>
      </patternFill>
    </fill>
    <fill>
      <patternFill patternType="solid">
        <fgColor theme="3" tint="0.59999389629810485"/>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rgb="FFCCFFFF"/>
        <bgColor indexed="64"/>
      </patternFill>
    </fill>
    <fill>
      <patternFill patternType="solid">
        <fgColor theme="6" tint="0.79998168889431442"/>
        <bgColor indexed="64"/>
      </patternFill>
    </fill>
    <fill>
      <patternFill patternType="solid">
        <fgColor rgb="FFCC99FF"/>
        <bgColor indexed="64"/>
      </patternFill>
    </fill>
    <fill>
      <patternFill patternType="solid">
        <fgColor theme="5" tint="0.39997558519241921"/>
        <bgColor indexed="64"/>
      </patternFill>
    </fill>
    <fill>
      <patternFill patternType="solid">
        <fgColor theme="2" tint="-0.499984740745262"/>
        <bgColor indexed="64"/>
      </patternFill>
    </fill>
    <fill>
      <patternFill patternType="solid">
        <fgColor theme="3" tint="0.39997558519241921"/>
        <bgColor indexed="64"/>
      </patternFill>
    </fill>
    <fill>
      <patternFill patternType="solid">
        <fgColor theme="6" tint="-0.249977111117893"/>
        <bgColor indexed="64"/>
      </patternFill>
    </fill>
    <fill>
      <patternFill patternType="solid">
        <fgColor rgb="FFC0C0C0"/>
        <bgColor indexed="64"/>
      </patternFill>
    </fill>
    <fill>
      <patternFill patternType="solid">
        <fgColor rgb="FFFFFF00"/>
        <bgColor indexed="64"/>
      </patternFill>
    </fill>
    <fill>
      <patternFill patternType="solid">
        <fgColor theme="3" tint="0.79998168889431442"/>
        <bgColor indexed="64"/>
      </patternFill>
    </fill>
    <fill>
      <patternFill patternType="gray0625">
        <fgColor auto="1"/>
        <bgColor theme="0"/>
      </patternFill>
    </fill>
    <fill>
      <patternFill patternType="solid">
        <fgColor rgb="FFCCFFCC"/>
        <bgColor indexed="64"/>
      </patternFill>
    </fill>
  </fills>
  <borders count="8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thin">
        <color indexed="64"/>
      </left>
      <right style="medium">
        <color indexed="64"/>
      </right>
      <top/>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right style="thin">
        <color indexed="64"/>
      </right>
      <top style="medium">
        <color indexed="64"/>
      </top>
      <bottom style="thin">
        <color indexed="64"/>
      </bottom>
      <diagonal/>
    </border>
    <border>
      <left/>
      <right/>
      <top/>
      <bottom style="dashed">
        <color indexed="64"/>
      </bottom>
      <diagonal/>
    </border>
    <border>
      <left/>
      <right style="medium">
        <color indexed="64"/>
      </right>
      <top/>
      <bottom style="dashed">
        <color indexed="64"/>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180">
    <xf numFmtId="0" fontId="0" fillId="0" borderId="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1" fillId="21" borderId="2" applyNumberFormat="0" applyAlignment="0" applyProtection="0"/>
    <xf numFmtId="0" fontId="11" fillId="21" borderId="2" applyNumberFormat="0" applyAlignment="0" applyProtection="0"/>
    <xf numFmtId="0" fontId="11" fillId="21" borderId="2" applyNumberFormat="0" applyAlignment="0" applyProtection="0"/>
    <xf numFmtId="0" fontId="11" fillId="21" borderId="2" applyNumberFormat="0" applyAlignment="0" applyProtection="0"/>
    <xf numFmtId="44" fontId="3"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1" fillId="0" borderId="0" applyNumberFormat="0" applyFill="0" applyBorder="0" applyAlignment="0" applyProtection="0">
      <alignment vertical="top"/>
      <protection locked="0"/>
    </xf>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3" fillId="0" borderId="0"/>
    <xf numFmtId="0" fontId="3" fillId="0" borderId="0"/>
    <xf numFmtId="0" fontId="35" fillId="0" borderId="0"/>
    <xf numFmtId="0" fontId="3" fillId="0" borderId="0"/>
    <xf numFmtId="0" fontId="3" fillId="0" borderId="0"/>
    <xf numFmtId="0" fontId="3" fillId="0" borderId="0"/>
    <xf numFmtId="0" fontId="3" fillId="0" borderId="0"/>
    <xf numFmtId="0" fontId="36" fillId="0" borderId="0"/>
    <xf numFmtId="0" fontId="3" fillId="0" borderId="0"/>
    <xf numFmtId="0" fontId="3" fillId="0" borderId="0"/>
    <xf numFmtId="0" fontId="3"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43" fontId="76" fillId="0" borderId="0" applyFont="0" applyFill="0" applyBorder="0" applyAlignment="0" applyProtection="0"/>
  </cellStyleXfs>
  <cellXfs count="1454">
    <xf numFmtId="0" fontId="0" fillId="0" borderId="0" xfId="0"/>
    <xf numFmtId="0" fontId="0" fillId="0" borderId="0" xfId="0" applyProtection="1"/>
    <xf numFmtId="0" fontId="0" fillId="0" borderId="0" xfId="0" applyBorder="1" applyProtection="1"/>
    <xf numFmtId="0" fontId="37" fillId="0" borderId="0" xfId="0" applyFont="1" applyProtection="1"/>
    <xf numFmtId="0" fontId="2" fillId="0" borderId="10" xfId="0" applyFont="1" applyBorder="1" applyProtection="1"/>
    <xf numFmtId="0" fontId="0" fillId="0" borderId="11" xfId="0" applyBorder="1" applyProtection="1"/>
    <xf numFmtId="0" fontId="0" fillId="0" borderId="12" xfId="0" applyBorder="1" applyProtection="1"/>
    <xf numFmtId="0" fontId="0" fillId="0" borderId="13" xfId="0" applyBorder="1" applyProtection="1"/>
    <xf numFmtId="0" fontId="0" fillId="0" borderId="14" xfId="0" applyBorder="1" applyProtection="1"/>
    <xf numFmtId="0" fontId="0" fillId="0" borderId="15" xfId="0" applyBorder="1" applyProtection="1"/>
    <xf numFmtId="0" fontId="0" fillId="0" borderId="16" xfId="0" applyBorder="1" applyProtection="1"/>
    <xf numFmtId="0" fontId="0" fillId="0" borderId="17" xfId="0" applyBorder="1" applyProtection="1"/>
    <xf numFmtId="0" fontId="0" fillId="0" borderId="18" xfId="0" applyBorder="1" applyProtection="1"/>
    <xf numFmtId="0" fontId="2" fillId="0" borderId="11" xfId="0" applyFont="1" applyBorder="1" applyProtection="1"/>
    <xf numFmtId="0" fontId="0" fillId="0" borderId="19" xfId="0" applyBorder="1" applyProtection="1"/>
    <xf numFmtId="0" fontId="0" fillId="0" borderId="20" xfId="0" applyBorder="1" applyProtection="1"/>
    <xf numFmtId="0" fontId="39" fillId="0" borderId="0" xfId="0" applyFont="1" applyAlignment="1">
      <alignment horizontal="center"/>
    </xf>
    <xf numFmtId="0" fontId="40" fillId="0" borderId="0" xfId="0" applyFont="1" applyAlignment="1">
      <alignment horizontal="center" vertical="center" wrapText="1"/>
    </xf>
    <xf numFmtId="0" fontId="39" fillId="0" borderId="0" xfId="0" applyFont="1"/>
    <xf numFmtId="0" fontId="41" fillId="0" borderId="0" xfId="0" applyFont="1"/>
    <xf numFmtId="0" fontId="42" fillId="0" borderId="0" xfId="0" applyFont="1"/>
    <xf numFmtId="0" fontId="41" fillId="24" borderId="21" xfId="0" applyFont="1" applyFill="1" applyBorder="1" applyAlignment="1">
      <alignment horizontal="center"/>
    </xf>
    <xf numFmtId="0" fontId="39" fillId="0" borderId="0" xfId="0" applyFont="1" applyFill="1" applyBorder="1" applyAlignment="1">
      <alignment horizontal="center"/>
    </xf>
    <xf numFmtId="0" fontId="39" fillId="24" borderId="22" xfId="0" applyFont="1" applyFill="1" applyBorder="1" applyAlignment="1">
      <alignment horizontal="right"/>
    </xf>
    <xf numFmtId="0" fontId="39" fillId="0" borderId="0" xfId="0" applyFont="1" applyBorder="1" applyAlignment="1">
      <alignment horizontal="left"/>
    </xf>
    <xf numFmtId="0" fontId="39" fillId="0" borderId="0" xfId="0" applyFont="1" applyFill="1" applyBorder="1" applyAlignment="1">
      <alignment horizontal="left"/>
    </xf>
    <xf numFmtId="0" fontId="39" fillId="0" borderId="23" xfId="0" applyFont="1" applyBorder="1" applyAlignment="1">
      <alignment horizontal="left" vertical="center" indent="1"/>
    </xf>
    <xf numFmtId="0" fontId="39" fillId="0" borderId="0" xfId="0" applyFont="1" applyBorder="1" applyAlignment="1">
      <alignment horizontal="left" vertical="center" indent="1"/>
    </xf>
    <xf numFmtId="0" fontId="39" fillId="0" borderId="0" xfId="0" applyFont="1" applyBorder="1" applyAlignment="1">
      <alignment horizontal="center"/>
    </xf>
    <xf numFmtId="0" fontId="39" fillId="24" borderId="24" xfId="0" applyFont="1" applyFill="1" applyBorder="1" applyAlignment="1">
      <alignment horizontal="right"/>
    </xf>
    <xf numFmtId="0" fontId="39" fillId="0" borderId="13" xfId="0" applyFont="1" applyBorder="1" applyAlignment="1">
      <alignment horizontal="left"/>
    </xf>
    <xf numFmtId="0" fontId="39" fillId="0" borderId="25" xfId="0" applyFont="1" applyBorder="1" applyAlignment="1">
      <alignment horizontal="left" indent="1"/>
    </xf>
    <xf numFmtId="0" fontId="39" fillId="0" borderId="23" xfId="0" applyFont="1" applyBorder="1" applyAlignment="1">
      <alignment horizontal="center"/>
    </xf>
    <xf numFmtId="0" fontId="39" fillId="24" borderId="26" xfId="0" applyFont="1" applyFill="1" applyBorder="1" applyAlignment="1">
      <alignment horizontal="right"/>
    </xf>
    <xf numFmtId="0" fontId="39" fillId="0" borderId="27" xfId="0" applyFont="1" applyBorder="1" applyAlignment="1">
      <alignment horizontal="left"/>
    </xf>
    <xf numFmtId="0" fontId="39" fillId="0" borderId="28" xfId="0" applyFont="1" applyBorder="1" applyAlignment="1">
      <alignment horizontal="left" indent="1"/>
    </xf>
    <xf numFmtId="0" fontId="39" fillId="0" borderId="0" xfId="0" applyFont="1" applyAlignment="1">
      <alignment horizontal="left"/>
    </xf>
    <xf numFmtId="0" fontId="39" fillId="0" borderId="0" xfId="0" applyFont="1" applyAlignment="1">
      <alignment horizontal="left" indent="1"/>
    </xf>
    <xf numFmtId="0" fontId="39" fillId="24" borderId="29" xfId="0" applyFont="1" applyFill="1" applyBorder="1" applyAlignment="1">
      <alignment horizontal="right"/>
    </xf>
    <xf numFmtId="14" fontId="39" fillId="0" borderId="30" xfId="0" applyNumberFormat="1" applyFont="1" applyBorder="1" applyAlignment="1">
      <alignment horizontal="left"/>
    </xf>
    <xf numFmtId="171" fontId="39" fillId="0" borderId="31" xfId="0" applyNumberFormat="1" applyFont="1" applyBorder="1" applyAlignment="1">
      <alignment horizontal="left" indent="1"/>
    </xf>
    <xf numFmtId="0" fontId="39" fillId="0" borderId="0" xfId="0" applyFont="1" applyBorder="1" applyAlignment="1">
      <alignment horizontal="left" vertical="center" wrapText="1" indent="1"/>
    </xf>
    <xf numFmtId="0" fontId="39" fillId="0" borderId="30" xfId="0" applyFont="1" applyBorder="1" applyAlignment="1">
      <alignment horizontal="left"/>
    </xf>
    <xf numFmtId="0" fontId="39" fillId="0" borderId="31" xfId="0" applyFont="1" applyBorder="1" applyAlignment="1">
      <alignment horizontal="left" indent="1"/>
    </xf>
    <xf numFmtId="169" fontId="39" fillId="0" borderId="23" xfId="0" applyNumberFormat="1" applyFont="1" applyBorder="1" applyAlignment="1">
      <alignment horizontal="left" vertical="center" indent="1"/>
    </xf>
    <xf numFmtId="0" fontId="39" fillId="0" borderId="0" xfId="0" applyNumberFormat="1" applyFont="1" applyFill="1" applyBorder="1" applyAlignment="1">
      <alignment horizontal="left"/>
    </xf>
    <xf numFmtId="0" fontId="39" fillId="0" borderId="23" xfId="0" applyFont="1" applyBorder="1" applyAlignment="1">
      <alignment horizontal="left" indent="1"/>
    </xf>
    <xf numFmtId="0" fontId="39" fillId="0" borderId="32" xfId="0" applyFont="1" applyBorder="1" applyAlignment="1">
      <alignment horizontal="left" vertical="center" indent="1"/>
    </xf>
    <xf numFmtId="0" fontId="39" fillId="0" borderId="32" xfId="0" applyFont="1" applyFill="1" applyBorder="1" applyAlignment="1">
      <alignment horizontal="left" vertical="center" wrapText="1" indent="1"/>
    </xf>
    <xf numFmtId="0" fontId="39" fillId="0" borderId="32" xfId="0" applyFont="1" applyBorder="1" applyAlignment="1">
      <alignment horizontal="left" vertical="center" wrapText="1" indent="1"/>
    </xf>
    <xf numFmtId="0" fontId="39" fillId="0" borderId="27" xfId="0" applyFont="1" applyFill="1" applyBorder="1" applyAlignment="1">
      <alignment horizontal="left"/>
    </xf>
    <xf numFmtId="0" fontId="43" fillId="0" borderId="0" xfId="0" applyFont="1"/>
    <xf numFmtId="0" fontId="39" fillId="0" borderId="28" xfId="0" applyFont="1" applyBorder="1" applyAlignment="1">
      <alignment horizontal="left" vertical="center" indent="1"/>
    </xf>
    <xf numFmtId="0" fontId="41" fillId="0" borderId="0" xfId="0" applyFont="1" applyAlignment="1">
      <alignment horizontal="right"/>
    </xf>
    <xf numFmtId="0" fontId="39" fillId="25" borderId="0" xfId="0" applyFont="1" applyFill="1" applyAlignment="1">
      <alignment horizontal="center"/>
    </xf>
    <xf numFmtId="0" fontId="39" fillId="0" borderId="0" xfId="0" applyFont="1" applyAlignment="1">
      <alignment horizontal="right"/>
    </xf>
    <xf numFmtId="0" fontId="39" fillId="0" borderId="0" xfId="0" applyFont="1" applyBorder="1"/>
    <xf numFmtId="0" fontId="41" fillId="26" borderId="21" xfId="0" applyFont="1" applyFill="1" applyBorder="1" applyAlignment="1">
      <alignment horizontal="center"/>
    </xf>
    <xf numFmtId="0" fontId="39" fillId="0" borderId="0" xfId="0" applyFont="1" applyBorder="1" applyAlignment="1"/>
    <xf numFmtId="0" fontId="41" fillId="27" borderId="21" xfId="0" applyFont="1" applyFill="1" applyBorder="1" applyAlignment="1">
      <alignment horizontal="center"/>
    </xf>
    <xf numFmtId="0" fontId="39" fillId="26" borderId="22" xfId="0" applyFont="1" applyFill="1" applyBorder="1" applyAlignment="1">
      <alignment horizontal="right"/>
    </xf>
    <xf numFmtId="0" fontId="39" fillId="27" borderId="22" xfId="0" applyFont="1" applyFill="1" applyBorder="1" applyAlignment="1">
      <alignment horizontal="right"/>
    </xf>
    <xf numFmtId="0" fontId="39" fillId="0" borderId="15" xfId="0" applyFont="1" applyBorder="1" applyAlignment="1">
      <alignment horizontal="left" vertical="center" wrapText="1"/>
    </xf>
    <xf numFmtId="0" fontId="39" fillId="0" borderId="33" xfId="0" applyFont="1" applyBorder="1" applyAlignment="1">
      <alignment horizontal="left" vertical="center" wrapText="1"/>
    </xf>
    <xf numFmtId="0" fontId="41" fillId="0" borderId="0" xfId="0" applyFont="1" applyFill="1" applyAlignment="1">
      <alignment horizontal="right"/>
    </xf>
    <xf numFmtId="169" fontId="39" fillId="0" borderId="23" xfId="0" applyNumberFormat="1" applyFont="1" applyBorder="1" applyAlignment="1">
      <alignment horizontal="left" indent="1"/>
    </xf>
    <xf numFmtId="0" fontId="39" fillId="26" borderId="26" xfId="0" applyFont="1" applyFill="1" applyBorder="1" applyAlignment="1">
      <alignment horizontal="right"/>
    </xf>
    <xf numFmtId="169" fontId="39" fillId="0" borderId="28" xfId="0" applyNumberFormat="1" applyFont="1" applyBorder="1" applyAlignment="1">
      <alignment horizontal="left" indent="1"/>
    </xf>
    <xf numFmtId="0" fontId="39" fillId="25" borderId="23" xfId="0" applyFont="1" applyFill="1" applyBorder="1" applyAlignment="1">
      <alignment horizontal="center"/>
    </xf>
    <xf numFmtId="0" fontId="39" fillId="0" borderId="27" xfId="0" applyFont="1" applyBorder="1"/>
    <xf numFmtId="0" fontId="41" fillId="28" borderId="21" xfId="0" applyFont="1" applyFill="1" applyBorder="1" applyAlignment="1">
      <alignment horizontal="center" vertical="center"/>
    </xf>
    <xf numFmtId="0" fontId="41" fillId="29" borderId="21" xfId="0" applyFont="1" applyFill="1" applyBorder="1" applyAlignment="1">
      <alignment horizontal="center"/>
    </xf>
    <xf numFmtId="0" fontId="39" fillId="28" borderId="22" xfId="0" applyFont="1" applyFill="1" applyBorder="1" applyAlignment="1">
      <alignment horizontal="right"/>
    </xf>
    <xf numFmtId="0" fontId="39" fillId="0" borderId="32" xfId="0" applyFont="1" applyBorder="1"/>
    <xf numFmtId="0" fontId="39" fillId="29" borderId="22" xfId="0" applyFont="1" applyFill="1" applyBorder="1" applyAlignment="1">
      <alignment horizontal="right"/>
    </xf>
    <xf numFmtId="0" fontId="39" fillId="0" borderId="0" xfId="0" applyFont="1" applyBorder="1" applyAlignment="1">
      <alignment vertical="center"/>
    </xf>
    <xf numFmtId="0" fontId="39" fillId="28" borderId="22" xfId="0" applyFont="1" applyFill="1" applyBorder="1" applyAlignment="1">
      <alignment horizontal="right" wrapText="1"/>
    </xf>
    <xf numFmtId="0" fontId="39" fillId="0" borderId="0" xfId="0" applyFont="1" applyAlignment="1">
      <alignment horizontal="left" vertical="center" wrapText="1"/>
    </xf>
    <xf numFmtId="0" fontId="39" fillId="0" borderId="0" xfId="0" applyFont="1" applyBorder="1" applyAlignment="1">
      <alignment horizontal="left" vertical="center" wrapText="1"/>
    </xf>
    <xf numFmtId="169" fontId="39" fillId="0" borderId="23" xfId="0" applyNumberFormat="1" applyFont="1" applyFill="1" applyBorder="1" applyAlignment="1">
      <alignment horizontal="left" vertical="center" wrapText="1" indent="1"/>
    </xf>
    <xf numFmtId="0" fontId="39" fillId="0" borderId="23" xfId="0" applyFont="1" applyFill="1" applyBorder="1" applyAlignment="1">
      <alignment horizontal="left" vertical="center" wrapText="1" indent="1"/>
    </xf>
    <xf numFmtId="0" fontId="39" fillId="28" borderId="26" xfId="0" applyFont="1" applyFill="1" applyBorder="1" applyAlignment="1">
      <alignment horizontal="right"/>
    </xf>
    <xf numFmtId="169" fontId="39" fillId="0" borderId="28" xfId="0" applyNumberFormat="1" applyFont="1" applyBorder="1" applyAlignment="1">
      <alignment horizontal="left" vertical="center" indent="1"/>
    </xf>
    <xf numFmtId="0" fontId="39" fillId="29" borderId="26" xfId="0" applyFont="1" applyFill="1" applyBorder="1" applyAlignment="1">
      <alignment horizontal="right"/>
    </xf>
    <xf numFmtId="0" fontId="39" fillId="0" borderId="0" xfId="0" applyFont="1" applyBorder="1" applyAlignment="1">
      <alignment horizontal="right" wrapText="1"/>
    </xf>
    <xf numFmtId="0" fontId="39" fillId="0" borderId="0" xfId="0" applyFont="1" applyBorder="1" applyAlignment="1">
      <alignment vertical="center" wrapText="1"/>
    </xf>
    <xf numFmtId="0" fontId="39" fillId="0" borderId="0" xfId="0" applyFont="1" applyFill="1" applyAlignment="1">
      <alignment horizontal="center"/>
    </xf>
    <xf numFmtId="0" fontId="41" fillId="30" borderId="21" xfId="0" applyFont="1" applyFill="1" applyBorder="1" applyAlignment="1">
      <alignment horizontal="center" vertical="center"/>
    </xf>
    <xf numFmtId="0" fontId="44" fillId="0" borderId="0" xfId="0" applyFont="1"/>
    <xf numFmtId="0" fontId="39" fillId="30" borderId="22" xfId="0" applyFont="1" applyFill="1" applyBorder="1" applyAlignment="1">
      <alignment horizontal="right"/>
    </xf>
    <xf numFmtId="0" fontId="39" fillId="30" borderId="26" xfId="0" applyFont="1" applyFill="1" applyBorder="1" applyAlignment="1">
      <alignment horizontal="right"/>
    </xf>
    <xf numFmtId="0" fontId="39" fillId="0" borderId="0" xfId="0" applyFont="1" applyAlignment="1" applyProtection="1">
      <alignment horizontal="center"/>
    </xf>
    <xf numFmtId="0" fontId="39" fillId="0" borderId="0" xfId="0" applyFont="1" applyProtection="1"/>
    <xf numFmtId="0" fontId="41" fillId="0" borderId="0" xfId="0" applyFont="1" applyAlignment="1" applyProtection="1">
      <alignment horizontal="center" vertical="center"/>
    </xf>
    <xf numFmtId="0" fontId="42" fillId="0" borderId="0" xfId="0" applyFont="1" applyProtection="1"/>
    <xf numFmtId="0" fontId="39" fillId="39" borderId="32" xfId="0" applyFont="1" applyFill="1" applyBorder="1" applyAlignment="1" applyProtection="1">
      <alignment horizontal="center"/>
    </xf>
    <xf numFmtId="0" fontId="39" fillId="39" borderId="16" xfId="0" applyFont="1" applyFill="1" applyBorder="1" applyProtection="1"/>
    <xf numFmtId="0" fontId="39" fillId="0" borderId="0" xfId="0" applyFont="1" applyBorder="1" applyProtection="1"/>
    <xf numFmtId="0" fontId="39" fillId="0" borderId="0" xfId="0" applyNumberFormat="1" applyFont="1" applyBorder="1" applyProtection="1"/>
    <xf numFmtId="0" fontId="39" fillId="0" borderId="23" xfId="0" applyFont="1" applyBorder="1" applyProtection="1"/>
    <xf numFmtId="170" fontId="39" fillId="0" borderId="0" xfId="0" applyNumberFormat="1" applyFont="1" applyBorder="1" applyProtection="1"/>
    <xf numFmtId="0" fontId="39" fillId="0" borderId="0" xfId="0" applyNumberFormat="1" applyFont="1" applyFill="1" applyBorder="1" applyProtection="1"/>
    <xf numFmtId="14" fontId="39" fillId="0" borderId="0" xfId="0" applyNumberFormat="1" applyFont="1" applyBorder="1" applyProtection="1"/>
    <xf numFmtId="0" fontId="39" fillId="39" borderId="34" xfId="0" applyFont="1" applyFill="1" applyBorder="1" applyAlignment="1" applyProtection="1">
      <alignment horizontal="center"/>
    </xf>
    <xf numFmtId="0" fontId="39" fillId="39" borderId="35" xfId="0" applyFont="1" applyFill="1" applyBorder="1" applyProtection="1"/>
    <xf numFmtId="170" fontId="39" fillId="0" borderId="27" xfId="0" applyNumberFormat="1" applyFont="1" applyBorder="1" applyProtection="1"/>
    <xf numFmtId="0" fontId="39" fillId="0" borderId="27" xfId="0" applyNumberFormat="1" applyFont="1" applyBorder="1" applyProtection="1"/>
    <xf numFmtId="0" fontId="39" fillId="0" borderId="28" xfId="0" applyFont="1" applyBorder="1" applyProtection="1"/>
    <xf numFmtId="0" fontId="41" fillId="31" borderId="0" xfId="0" applyFont="1" applyFill="1" applyAlignment="1">
      <alignment wrapText="1"/>
    </xf>
    <xf numFmtId="0" fontId="41" fillId="0" borderId="0" xfId="0" applyFont="1" applyFill="1"/>
    <xf numFmtId="0" fontId="39" fillId="0" borderId="0" xfId="0" applyNumberFormat="1" applyFont="1"/>
    <xf numFmtId="0" fontId="39" fillId="0" borderId="0" xfId="0" applyFont="1" applyFill="1"/>
    <xf numFmtId="0" fontId="45" fillId="0" borderId="0" xfId="0" applyFont="1" applyFill="1" applyAlignment="1">
      <alignment horizontal="center"/>
    </xf>
    <xf numFmtId="0" fontId="43" fillId="0" borderId="0" xfId="0" applyFont="1" applyFill="1" applyAlignment="1">
      <alignment horizontal="center"/>
    </xf>
    <xf numFmtId="0" fontId="43" fillId="0" borderId="0" xfId="0" applyFont="1" applyFill="1"/>
    <xf numFmtId="0" fontId="46" fillId="0" borderId="0" xfId="0" applyFont="1" applyFill="1" applyAlignment="1">
      <alignment horizontal="center"/>
    </xf>
    <xf numFmtId="0" fontId="41" fillId="0" borderId="0" xfId="0" applyFont="1" applyFill="1" applyAlignment="1"/>
    <xf numFmtId="0" fontId="39" fillId="31" borderId="0" xfId="0" applyFont="1" applyFill="1"/>
    <xf numFmtId="0" fontId="39" fillId="32" borderId="0" xfId="0" applyFont="1" applyFill="1"/>
    <xf numFmtId="0" fontId="39" fillId="33" borderId="0" xfId="0" applyFont="1" applyFill="1"/>
    <xf numFmtId="0" fontId="41" fillId="33" borderId="0" xfId="0" applyFont="1" applyFill="1" applyAlignment="1" applyProtection="1">
      <alignment horizontal="center" vertical="top"/>
    </xf>
    <xf numFmtId="0" fontId="47" fillId="33" borderId="0" xfId="0" applyFont="1" applyFill="1" applyAlignment="1" applyProtection="1">
      <alignment horizontal="center" vertical="top"/>
    </xf>
    <xf numFmtId="0" fontId="39" fillId="33" borderId="0" xfId="0" applyFont="1" applyFill="1" applyProtection="1"/>
    <xf numFmtId="0" fontId="41" fillId="40" borderId="0" xfId="0" applyFont="1" applyFill="1" applyAlignment="1" applyProtection="1">
      <alignment horizontal="center" vertical="top"/>
    </xf>
    <xf numFmtId="0" fontId="39" fillId="40" borderId="0" xfId="0" applyFont="1" applyFill="1" applyProtection="1"/>
    <xf numFmtId="0" fontId="47" fillId="33" borderId="0" xfId="0" applyFont="1" applyFill="1" applyAlignment="1">
      <alignment horizontal="center" vertical="top"/>
    </xf>
    <xf numFmtId="0" fontId="39" fillId="33" borderId="0" xfId="0" applyFont="1" applyFill="1" applyAlignment="1">
      <alignment wrapText="1"/>
    </xf>
    <xf numFmtId="0" fontId="49" fillId="33" borderId="0" xfId="0" applyFont="1" applyFill="1" applyAlignment="1">
      <alignment horizontal="center" vertical="center" wrapText="1"/>
    </xf>
    <xf numFmtId="0" fontId="39" fillId="34" borderId="36" xfId="0" applyFont="1" applyFill="1" applyBorder="1" applyAlignment="1"/>
    <xf numFmtId="0" fontId="39" fillId="34" borderId="36" xfId="0" applyFont="1" applyFill="1" applyBorder="1" applyAlignment="1">
      <alignment vertical="center"/>
    </xf>
    <xf numFmtId="0" fontId="39" fillId="34" borderId="36" xfId="0" applyFont="1" applyFill="1" applyBorder="1" applyAlignment="1">
      <alignment horizontal="center" vertical="center"/>
    </xf>
    <xf numFmtId="0" fontId="41" fillId="0" borderId="37" xfId="0" applyFont="1" applyBorder="1" applyAlignment="1" applyProtection="1">
      <alignment horizontal="center" vertical="center" wrapText="1"/>
      <protection locked="0"/>
    </xf>
    <xf numFmtId="0" fontId="48" fillId="0" borderId="36" xfId="134" applyFont="1" applyBorder="1" applyAlignment="1" applyProtection="1">
      <alignment horizontal="center" vertical="center"/>
    </xf>
    <xf numFmtId="0" fontId="39" fillId="34" borderId="36" xfId="0" applyFont="1" applyFill="1" applyBorder="1" applyAlignment="1">
      <alignment horizontal="center" vertical="center" wrapText="1"/>
    </xf>
    <xf numFmtId="0" fontId="39" fillId="34" borderId="36" xfId="0" applyFont="1" applyFill="1" applyBorder="1" applyAlignment="1">
      <alignment horizontal="center"/>
    </xf>
    <xf numFmtId="165" fontId="39" fillId="0" borderId="36" xfId="0" applyNumberFormat="1" applyFont="1" applyFill="1" applyBorder="1" applyAlignment="1">
      <alignment horizontal="center" vertical="center" wrapText="1"/>
    </xf>
    <xf numFmtId="0" fontId="39" fillId="0" borderId="0" xfId="0" applyFont="1" applyFill="1" applyAlignment="1">
      <alignment vertical="center"/>
    </xf>
    <xf numFmtId="0" fontId="39" fillId="34" borderId="36" xfId="0" applyFont="1" applyFill="1" applyBorder="1" applyAlignment="1">
      <alignment horizontal="left"/>
    </xf>
    <xf numFmtId="0" fontId="39" fillId="34" borderId="36" xfId="0" applyNumberFormat="1" applyFont="1" applyFill="1" applyBorder="1" applyAlignment="1">
      <alignment vertical="center"/>
    </xf>
    <xf numFmtId="0" fontId="39" fillId="0" borderId="0" xfId="0" applyFont="1" applyBorder="1" applyAlignment="1">
      <alignment horizontal="center" vertical="center"/>
    </xf>
    <xf numFmtId="0" fontId="39" fillId="0" borderId="0" xfId="0" applyFont="1" applyBorder="1" applyAlignment="1">
      <alignment horizontal="left" vertical="center"/>
    </xf>
    <xf numFmtId="0" fontId="39" fillId="0" borderId="0" xfId="0" applyFont="1" applyAlignment="1">
      <alignment vertical="center"/>
    </xf>
    <xf numFmtId="0" fontId="39" fillId="34" borderId="36" xfId="0" applyFont="1" applyFill="1" applyBorder="1" applyAlignment="1">
      <alignment horizontal="left" vertical="center"/>
    </xf>
    <xf numFmtId="0" fontId="39" fillId="33" borderId="0" xfId="0" applyFont="1" applyFill="1" applyBorder="1" applyAlignment="1" applyProtection="1">
      <alignment vertical="center"/>
    </xf>
    <xf numFmtId="0" fontId="48" fillId="33" borderId="0" xfId="134" applyFont="1" applyFill="1" applyBorder="1" applyAlignment="1" applyProtection="1">
      <alignment horizontal="center" vertical="center"/>
    </xf>
    <xf numFmtId="0" fontId="41" fillId="33" borderId="23" xfId="0" applyFont="1" applyFill="1" applyBorder="1" applyAlignment="1" applyProtection="1">
      <alignment horizontal="center" vertical="center"/>
    </xf>
    <xf numFmtId="5" fontId="42" fillId="33" borderId="0" xfId="0" applyNumberFormat="1" applyFont="1" applyFill="1" applyBorder="1" applyAlignment="1" applyProtection="1">
      <alignment horizontal="left" vertical="center"/>
    </xf>
    <xf numFmtId="0" fontId="41" fillId="33" borderId="0" xfId="0" applyFont="1" applyFill="1" applyBorder="1" applyAlignment="1" applyProtection="1">
      <alignment horizontal="center" vertical="center"/>
    </xf>
    <xf numFmtId="0" fontId="41" fillId="33" borderId="0" xfId="134" applyFont="1" applyFill="1" applyBorder="1" applyAlignment="1" applyProtection="1">
      <alignment horizontal="center" vertical="center"/>
    </xf>
    <xf numFmtId="0" fontId="42" fillId="33" borderId="23" xfId="0" applyFont="1" applyFill="1" applyBorder="1" applyAlignment="1" applyProtection="1">
      <alignment horizontal="left" vertical="center"/>
    </xf>
    <xf numFmtId="0" fontId="50" fillId="33" borderId="0" xfId="0" applyFont="1" applyFill="1" applyBorder="1" applyAlignment="1" applyProtection="1">
      <alignment horizontal="left" vertical="center"/>
    </xf>
    <xf numFmtId="0" fontId="39" fillId="33" borderId="0" xfId="0" applyFont="1" applyFill="1" applyBorder="1" applyAlignment="1" applyProtection="1">
      <alignment horizontal="left" vertical="center"/>
    </xf>
    <xf numFmtId="0" fontId="41" fillId="33" borderId="23" xfId="0" applyFont="1" applyFill="1" applyBorder="1" applyAlignment="1" applyProtection="1">
      <alignment horizontal="left" vertical="center"/>
    </xf>
    <xf numFmtId="5" fontId="42" fillId="0" borderId="0" xfId="0" applyNumberFormat="1" applyFont="1" applyFill="1" applyBorder="1" applyAlignment="1" applyProtection="1">
      <alignment horizontal="left" vertical="center"/>
    </xf>
    <xf numFmtId="0" fontId="39" fillId="0" borderId="0" xfId="0" applyFont="1" applyAlignment="1" applyProtection="1">
      <alignment vertical="center"/>
    </xf>
    <xf numFmtId="0" fontId="41" fillId="0" borderId="0" xfId="0" applyFont="1" applyFill="1" applyBorder="1" applyAlignment="1">
      <alignment horizontal="center" vertical="center"/>
    </xf>
    <xf numFmtId="0" fontId="41" fillId="0" borderId="0" xfId="0" applyFont="1" applyBorder="1" applyAlignment="1">
      <alignment horizontal="center" vertical="center"/>
    </xf>
    <xf numFmtId="0" fontId="41" fillId="34" borderId="36" xfId="0" applyFont="1" applyFill="1" applyBorder="1" applyAlignment="1">
      <alignment horizontal="center" vertical="center" wrapText="1"/>
    </xf>
    <xf numFmtId="0" fontId="41" fillId="34" borderId="36" xfId="0" applyFont="1" applyFill="1" applyBorder="1" applyAlignment="1">
      <alignment horizontal="center" vertical="center"/>
    </xf>
    <xf numFmtId="0" fontId="51" fillId="25" borderId="36" xfId="0" applyFont="1" applyFill="1" applyBorder="1" applyAlignment="1">
      <alignment horizontal="center" vertical="center"/>
    </xf>
    <xf numFmtId="0" fontId="51" fillId="25" borderId="38" xfId="0" applyFont="1" applyFill="1" applyBorder="1" applyAlignment="1">
      <alignment horizontal="center" vertical="center"/>
    </xf>
    <xf numFmtId="0" fontId="42" fillId="0" borderId="0" xfId="0" applyFont="1" applyFill="1" applyBorder="1" applyAlignment="1">
      <alignment vertical="center" wrapText="1"/>
    </xf>
    <xf numFmtId="0" fontId="39" fillId="0" borderId="0" xfId="0" applyFont="1" applyFill="1" applyAlignment="1">
      <alignment vertical="center" wrapText="1"/>
    </xf>
    <xf numFmtId="0" fontId="41" fillId="0" borderId="37" xfId="0" applyFont="1" applyBorder="1" applyAlignment="1" applyProtection="1">
      <alignment horizontal="center" vertical="center"/>
      <protection locked="0"/>
    </xf>
    <xf numFmtId="0" fontId="41" fillId="0" borderId="39" xfId="0" applyFont="1" applyFill="1" applyBorder="1" applyAlignment="1" applyProtection="1">
      <alignment vertical="center"/>
      <protection locked="0"/>
    </xf>
    <xf numFmtId="0" fontId="39" fillId="0" borderId="0" xfId="0" applyFont="1" applyFill="1" applyBorder="1" applyAlignment="1">
      <alignment vertical="center"/>
    </xf>
    <xf numFmtId="0" fontId="39" fillId="0" borderId="36" xfId="0" applyFont="1" applyFill="1" applyBorder="1" applyAlignment="1">
      <alignment horizontal="center" vertical="center" wrapText="1"/>
    </xf>
    <xf numFmtId="0" fontId="39" fillId="0" borderId="36" xfId="0" applyFont="1" applyFill="1" applyBorder="1" applyAlignment="1">
      <alignment vertical="center"/>
    </xf>
    <xf numFmtId="0" fontId="41" fillId="0" borderId="38" xfId="0" applyFont="1" applyFill="1" applyBorder="1" applyAlignment="1" applyProtection="1">
      <alignment vertical="center"/>
      <protection locked="0"/>
    </xf>
    <xf numFmtId="0" fontId="41" fillId="0" borderId="40" xfId="0" applyFont="1" applyBorder="1" applyAlignment="1" applyProtection="1">
      <alignment horizontal="center" vertical="center"/>
      <protection locked="0"/>
    </xf>
    <xf numFmtId="0" fontId="41" fillId="0" borderId="41" xfId="0" applyFont="1" applyFill="1" applyBorder="1" applyAlignment="1" applyProtection="1">
      <alignment vertical="center"/>
      <protection locked="0"/>
    </xf>
    <xf numFmtId="0" fontId="39" fillId="33" borderId="0" xfId="0" applyFont="1" applyFill="1" applyBorder="1" applyAlignment="1">
      <alignment horizontal="left" vertical="center" wrapText="1"/>
    </xf>
    <xf numFmtId="0" fontId="39" fillId="33" borderId="0" xfId="0" applyFont="1" applyFill="1" applyBorder="1" applyAlignment="1">
      <alignment vertical="center" wrapText="1"/>
    </xf>
    <xf numFmtId="0" fontId="39" fillId="33" borderId="0" xfId="0" applyFont="1" applyFill="1" applyBorder="1" applyAlignment="1">
      <alignment wrapText="1"/>
    </xf>
    <xf numFmtId="0" fontId="39" fillId="33" borderId="36" xfId="0" applyFont="1" applyFill="1" applyBorder="1" applyAlignment="1">
      <alignment horizontal="right" vertical="center" wrapText="1"/>
    </xf>
    <xf numFmtId="0" fontId="41" fillId="33" borderId="27" xfId="0" applyFont="1" applyFill="1" applyBorder="1" applyAlignment="1">
      <alignment vertical="center"/>
    </xf>
    <xf numFmtId="0" fontId="39" fillId="33" borderId="27" xfId="0" applyFont="1" applyFill="1" applyBorder="1" applyAlignment="1">
      <alignment vertical="center"/>
    </xf>
    <xf numFmtId="0" fontId="39" fillId="33" borderId="27" xfId="0" applyFont="1" applyFill="1" applyBorder="1" applyAlignment="1" applyProtection="1">
      <alignment horizontal="left" vertical="center" wrapText="1"/>
    </xf>
    <xf numFmtId="0" fontId="48" fillId="0" borderId="0" xfId="134" applyFont="1" applyFill="1" applyBorder="1" applyAlignment="1" applyProtection="1">
      <alignment horizontal="left" vertical="center"/>
    </xf>
    <xf numFmtId="0" fontId="48" fillId="0" borderId="0" xfId="134" applyFont="1" applyFill="1" applyBorder="1" applyAlignment="1" applyProtection="1">
      <alignment vertical="center"/>
    </xf>
    <xf numFmtId="0" fontId="39" fillId="33" borderId="0" xfId="0" applyFont="1" applyFill="1" applyAlignment="1"/>
    <xf numFmtId="0" fontId="39" fillId="0" borderId="36" xfId="0" applyFont="1" applyFill="1" applyBorder="1" applyAlignment="1"/>
    <xf numFmtId="0" fontId="39" fillId="33" borderId="37" xfId="0" applyFont="1" applyFill="1" applyBorder="1" applyAlignment="1">
      <alignment horizontal="left" vertical="center" wrapText="1"/>
    </xf>
    <xf numFmtId="0" fontId="39" fillId="33" borderId="0" xfId="0" applyFont="1" applyFill="1" applyBorder="1" applyAlignment="1" applyProtection="1">
      <alignment horizontal="left" vertical="center" wrapText="1"/>
    </xf>
    <xf numFmtId="0" fontId="41" fillId="33" borderId="0" xfId="0" applyFont="1" applyFill="1" applyBorder="1" applyAlignment="1" applyProtection="1">
      <alignment horizontal="left" vertical="center" wrapText="1"/>
    </xf>
    <xf numFmtId="0" fontId="41" fillId="33" borderId="0" xfId="0" applyFont="1" applyFill="1" applyBorder="1" applyAlignment="1" applyProtection="1">
      <alignment vertical="center" wrapText="1"/>
    </xf>
    <xf numFmtId="0" fontId="41" fillId="33" borderId="23" xfId="0" applyFont="1" applyFill="1" applyBorder="1" applyAlignment="1" applyProtection="1">
      <alignment vertical="center" wrapText="1"/>
    </xf>
    <xf numFmtId="0" fontId="39" fillId="33" borderId="36" xfId="0" applyFont="1" applyFill="1" applyBorder="1" applyAlignment="1">
      <alignment vertical="center" wrapText="1"/>
    </xf>
    <xf numFmtId="0" fontId="39" fillId="33" borderId="36" xfId="0" applyFont="1" applyFill="1" applyBorder="1" applyAlignment="1">
      <alignment horizontal="left" vertical="center" wrapText="1"/>
    </xf>
    <xf numFmtId="0" fontId="51" fillId="33" borderId="0" xfId="0" applyFont="1" applyFill="1" applyBorder="1" applyAlignment="1">
      <alignment horizontal="center" vertical="center"/>
    </xf>
    <xf numFmtId="0" fontId="51" fillId="33" borderId="23" xfId="0" applyFont="1" applyFill="1" applyBorder="1" applyAlignment="1">
      <alignment horizontal="center" vertical="center"/>
    </xf>
    <xf numFmtId="0" fontId="48" fillId="33" borderId="0" xfId="134" applyFont="1" applyFill="1" applyAlignment="1" applyProtection="1">
      <alignment vertical="center"/>
    </xf>
    <xf numFmtId="0" fontId="51" fillId="33" borderId="27" xfId="0" applyFont="1" applyFill="1" applyBorder="1" applyAlignment="1">
      <alignment horizontal="center" vertical="center"/>
    </xf>
    <xf numFmtId="0" fontId="51" fillId="33" borderId="28" xfId="0" applyFont="1" applyFill="1" applyBorder="1" applyAlignment="1">
      <alignment horizontal="center" vertical="center"/>
    </xf>
    <xf numFmtId="0" fontId="53" fillId="33" borderId="0" xfId="0" applyFont="1" applyFill="1" applyAlignment="1"/>
    <xf numFmtId="0" fontId="41" fillId="40" borderId="0" xfId="0" applyFont="1" applyFill="1" applyAlignment="1" applyProtection="1">
      <alignment vertical="center"/>
    </xf>
    <xf numFmtId="0" fontId="54" fillId="40" borderId="0" xfId="0" applyFont="1" applyFill="1" applyAlignment="1" applyProtection="1">
      <alignment wrapText="1"/>
    </xf>
    <xf numFmtId="0" fontId="49" fillId="40" borderId="0" xfId="0" applyFont="1" applyFill="1" applyAlignment="1" applyProtection="1">
      <alignment wrapText="1"/>
    </xf>
    <xf numFmtId="0" fontId="39" fillId="40" borderId="0" xfId="0" applyFont="1" applyFill="1" applyBorder="1" applyProtection="1"/>
    <xf numFmtId="0" fontId="55" fillId="40" borderId="0" xfId="0" applyFont="1" applyFill="1" applyBorder="1" applyAlignment="1" applyProtection="1">
      <alignment horizontal="center" vertical="center"/>
    </xf>
    <xf numFmtId="0" fontId="39" fillId="40" borderId="0" xfId="0" applyFont="1" applyFill="1" applyAlignment="1" applyProtection="1"/>
    <xf numFmtId="0" fontId="39" fillId="41" borderId="36" xfId="0" applyFont="1" applyFill="1" applyBorder="1" applyProtection="1"/>
    <xf numFmtId="0" fontId="39" fillId="40" borderId="18" xfId="0" applyFont="1" applyFill="1" applyBorder="1" applyProtection="1"/>
    <xf numFmtId="0" fontId="51" fillId="42" borderId="36" xfId="0" applyFont="1" applyFill="1" applyBorder="1" applyAlignment="1" applyProtection="1">
      <alignment horizontal="center" vertical="center" wrapText="1"/>
    </xf>
    <xf numFmtId="0" fontId="51" fillId="43" borderId="13" xfId="0" applyFont="1" applyFill="1" applyBorder="1" applyAlignment="1" applyProtection="1">
      <alignment vertical="center" wrapText="1"/>
    </xf>
    <xf numFmtId="0" fontId="51" fillId="43" borderId="13" xfId="0" applyFont="1" applyFill="1" applyBorder="1" applyAlignment="1" applyProtection="1">
      <alignment vertical="center"/>
    </xf>
    <xf numFmtId="0" fontId="51" fillId="43" borderId="25" xfId="0" applyFont="1" applyFill="1" applyBorder="1" applyAlignment="1" applyProtection="1">
      <alignment vertical="center"/>
    </xf>
    <xf numFmtId="0" fontId="39" fillId="44" borderId="37" xfId="0" applyFont="1" applyFill="1" applyBorder="1" applyProtection="1"/>
    <xf numFmtId="0" fontId="41" fillId="0" borderId="36" xfId="0" applyFont="1" applyBorder="1" applyAlignment="1" applyProtection="1">
      <alignment horizontal="center" vertical="center"/>
      <protection locked="0"/>
    </xf>
    <xf numFmtId="0" fontId="41" fillId="0" borderId="39" xfId="0" applyFont="1" applyFill="1" applyBorder="1" applyAlignment="1" applyProtection="1">
      <alignment horizontal="center" vertical="center"/>
      <protection locked="0"/>
    </xf>
    <xf numFmtId="0" fontId="39" fillId="44" borderId="36" xfId="0" applyFont="1" applyFill="1" applyBorder="1" applyProtection="1"/>
    <xf numFmtId="170" fontId="41" fillId="0" borderId="36" xfId="0" applyNumberFormat="1" applyFont="1" applyBorder="1" applyAlignment="1" applyProtection="1">
      <alignment horizontal="center" vertical="center" wrapText="1"/>
      <protection locked="0"/>
    </xf>
    <xf numFmtId="0" fontId="39" fillId="44" borderId="36" xfId="0" applyNumberFormat="1" applyFont="1" applyFill="1" applyBorder="1" applyProtection="1"/>
    <xf numFmtId="0" fontId="39" fillId="44" borderId="43" xfId="0" applyNumberFormat="1" applyFont="1" applyFill="1" applyBorder="1" applyProtection="1"/>
    <xf numFmtId="0" fontId="56" fillId="45" borderId="36" xfId="0" applyFont="1" applyFill="1" applyBorder="1" applyAlignment="1" applyProtection="1">
      <alignment horizontal="center" vertical="center" wrapText="1"/>
    </xf>
    <xf numFmtId="0" fontId="39" fillId="46" borderId="36" xfId="0" applyFont="1" applyFill="1" applyBorder="1" applyProtection="1"/>
    <xf numFmtId="0" fontId="39" fillId="46" borderId="10" xfId="0" applyFont="1" applyFill="1" applyBorder="1" applyProtection="1"/>
    <xf numFmtId="0" fontId="39" fillId="46" borderId="43" xfId="0" applyFont="1" applyFill="1" applyBorder="1" applyProtection="1"/>
    <xf numFmtId="0" fontId="41" fillId="40" borderId="36" xfId="0" applyFont="1" applyFill="1" applyBorder="1" applyAlignment="1" applyProtection="1">
      <alignment horizontal="center" vertical="center" wrapText="1"/>
      <protection locked="0"/>
    </xf>
    <xf numFmtId="0" fontId="39" fillId="41" borderId="11" xfId="0" applyFont="1" applyFill="1" applyBorder="1" applyProtection="1"/>
    <xf numFmtId="0" fontId="51" fillId="42" borderId="36" xfId="0" applyFont="1" applyFill="1" applyBorder="1" applyAlignment="1" applyProtection="1">
      <alignment horizontal="center" vertical="center"/>
    </xf>
    <xf numFmtId="0" fontId="51" fillId="42" borderId="10" xfId="0" applyFont="1" applyFill="1" applyBorder="1" applyAlignment="1" applyProtection="1">
      <alignment horizontal="center" vertical="center" wrapText="1"/>
    </xf>
    <xf numFmtId="0" fontId="51" fillId="42" borderId="38" xfId="0" applyFont="1" applyFill="1" applyBorder="1" applyAlignment="1" applyProtection="1">
      <alignment horizontal="center" vertical="center" wrapText="1"/>
    </xf>
    <xf numFmtId="0" fontId="39" fillId="47" borderId="36" xfId="0" applyFont="1" applyFill="1" applyBorder="1" applyProtection="1"/>
    <xf numFmtId="0" fontId="41" fillId="0" borderId="38" xfId="0" applyFont="1" applyFill="1" applyBorder="1" applyAlignment="1" applyProtection="1">
      <alignment horizontal="center" vertical="center"/>
      <protection locked="0"/>
    </xf>
    <xf numFmtId="0" fontId="41" fillId="0" borderId="10" xfId="0" applyFont="1" applyFill="1" applyBorder="1" applyAlignment="1" applyProtection="1">
      <alignment horizontal="center" vertical="center"/>
      <protection locked="0"/>
    </xf>
    <xf numFmtId="170" fontId="41" fillId="0" borderId="44" xfId="0" applyNumberFormat="1" applyFont="1" applyBorder="1" applyAlignment="1" applyProtection="1">
      <alignment horizontal="center" vertical="center" wrapText="1"/>
      <protection locked="0"/>
    </xf>
    <xf numFmtId="170" fontId="41" fillId="0" borderId="44" xfId="0" applyNumberFormat="1" applyFont="1" applyBorder="1" applyAlignment="1" applyProtection="1">
      <alignment horizontal="center" vertical="center"/>
      <protection locked="0"/>
    </xf>
    <xf numFmtId="170" fontId="41" fillId="0" borderId="45" xfId="0" applyNumberFormat="1" applyFont="1" applyFill="1" applyBorder="1" applyAlignment="1" applyProtection="1">
      <alignment horizontal="center" vertical="center"/>
      <protection locked="0"/>
    </xf>
    <xf numFmtId="170" fontId="41" fillId="0" borderId="41" xfId="0" applyNumberFormat="1" applyFont="1" applyFill="1" applyBorder="1" applyAlignment="1" applyProtection="1">
      <alignment horizontal="center" vertical="center"/>
      <protection locked="0"/>
    </xf>
    <xf numFmtId="0" fontId="39" fillId="47" borderId="36" xfId="0" applyNumberFormat="1" applyFont="1" applyFill="1" applyBorder="1" applyProtection="1"/>
    <xf numFmtId="0" fontId="39" fillId="40" borderId="34" xfId="0" applyFont="1" applyFill="1" applyBorder="1" applyProtection="1"/>
    <xf numFmtId="0" fontId="39" fillId="40" borderId="27" xfId="0" applyFont="1" applyFill="1" applyBorder="1" applyProtection="1"/>
    <xf numFmtId="0" fontId="39" fillId="33" borderId="0" xfId="0" applyFont="1" applyFill="1" applyAlignment="1" applyProtection="1">
      <alignment vertical="center"/>
    </xf>
    <xf numFmtId="0" fontId="39" fillId="33" borderId="46" xfId="0" applyFont="1" applyFill="1" applyBorder="1" applyAlignment="1" applyProtection="1">
      <alignment vertical="center"/>
    </xf>
    <xf numFmtId="0" fontId="39" fillId="35" borderId="11" xfId="0" applyFont="1" applyFill="1" applyBorder="1" applyAlignment="1" applyProtection="1">
      <alignment horizontal="center" vertical="center"/>
    </xf>
    <xf numFmtId="0" fontId="39" fillId="35" borderId="19" xfId="0" applyFont="1" applyFill="1" applyBorder="1" applyAlignment="1" applyProtection="1">
      <alignment horizontal="center" vertical="center"/>
    </xf>
    <xf numFmtId="0" fontId="39" fillId="33" borderId="46" xfId="0" applyFont="1" applyFill="1" applyBorder="1" applyAlignment="1" applyProtection="1">
      <alignment vertical="center" wrapText="1"/>
    </xf>
    <xf numFmtId="3" fontId="39" fillId="33" borderId="36" xfId="0" applyNumberFormat="1" applyFont="1" applyFill="1" applyBorder="1" applyAlignment="1" applyProtection="1">
      <alignment horizontal="right" vertical="center"/>
      <protection locked="0"/>
    </xf>
    <xf numFmtId="0" fontId="41" fillId="33" borderId="47" xfId="0" applyFont="1" applyFill="1" applyBorder="1" applyAlignment="1" applyProtection="1">
      <alignment vertical="center" wrapText="1"/>
    </xf>
    <xf numFmtId="0" fontId="39" fillId="0" borderId="51" xfId="0" applyFont="1" applyFill="1" applyBorder="1" applyAlignment="1" applyProtection="1">
      <alignment vertical="center" wrapText="1"/>
    </xf>
    <xf numFmtId="0" fontId="39" fillId="35" borderId="52" xfId="0" applyFont="1" applyFill="1" applyBorder="1" applyAlignment="1" applyProtection="1">
      <alignment horizontal="center" vertical="center" wrapText="1"/>
    </xf>
    <xf numFmtId="0" fontId="39" fillId="35" borderId="53" xfId="0" applyFont="1" applyFill="1" applyBorder="1" applyAlignment="1" applyProtection="1">
      <alignment horizontal="center" vertical="center" wrapText="1"/>
    </xf>
    <xf numFmtId="0" fontId="51" fillId="35" borderId="54" xfId="0" applyFont="1" applyFill="1" applyBorder="1" applyAlignment="1" applyProtection="1">
      <alignment horizontal="center" vertical="center"/>
    </xf>
    <xf numFmtId="0" fontId="51" fillId="35" borderId="38" xfId="0" applyFont="1" applyFill="1" applyBorder="1" applyAlignment="1" applyProtection="1">
      <alignment horizontal="center" vertical="center"/>
    </xf>
    <xf numFmtId="0" fontId="39" fillId="0" borderId="38" xfId="0" applyFont="1" applyBorder="1" applyAlignment="1" applyProtection="1">
      <alignment horizontal="center" vertical="center"/>
      <protection locked="0"/>
    </xf>
    <xf numFmtId="0" fontId="51" fillId="35" borderId="11" xfId="0" applyFont="1" applyFill="1" applyBorder="1" applyAlignment="1" applyProtection="1">
      <alignment horizontal="center" vertical="center"/>
    </xf>
    <xf numFmtId="0" fontId="51" fillId="35" borderId="19" xfId="0" applyFont="1" applyFill="1" applyBorder="1" applyAlignment="1" applyProtection="1">
      <alignment horizontal="center" vertical="center"/>
    </xf>
    <xf numFmtId="0" fontId="39" fillId="33" borderId="44" xfId="0" applyFont="1" applyFill="1" applyBorder="1" applyAlignment="1" applyProtection="1">
      <alignment horizontal="center" vertical="center"/>
      <protection locked="0"/>
    </xf>
    <xf numFmtId="0" fontId="39" fillId="33" borderId="41" xfId="0" applyFont="1" applyFill="1" applyBorder="1" applyAlignment="1" applyProtection="1">
      <alignment horizontal="center" vertical="center"/>
      <protection locked="0"/>
    </xf>
    <xf numFmtId="0" fontId="39" fillId="33" borderId="45" xfId="0" applyFont="1" applyFill="1" applyBorder="1" applyAlignment="1" applyProtection="1">
      <alignment horizontal="center" vertical="center"/>
      <protection locked="0"/>
    </xf>
    <xf numFmtId="0" fontId="39" fillId="33" borderId="0" xfId="0" applyFont="1" applyFill="1" applyBorder="1" applyAlignment="1" applyProtection="1">
      <alignment horizontal="right" vertical="center"/>
    </xf>
    <xf numFmtId="0" fontId="39" fillId="25" borderId="47" xfId="0" applyFont="1" applyFill="1" applyBorder="1" applyAlignment="1" applyProtection="1">
      <alignment vertical="center"/>
    </xf>
    <xf numFmtId="0" fontId="41" fillId="33" borderId="51" xfId="0" applyFont="1" applyFill="1" applyBorder="1" applyAlignment="1" applyProtection="1">
      <alignment vertical="center" wrapText="1"/>
    </xf>
    <xf numFmtId="0" fontId="39" fillId="35" borderId="53" xfId="0" applyFont="1" applyFill="1" applyBorder="1" applyAlignment="1" applyProtection="1">
      <alignment horizontal="center" vertical="center"/>
    </xf>
    <xf numFmtId="0" fontId="39" fillId="33" borderId="0" xfId="0" applyFont="1" applyFill="1" applyAlignment="1" applyProtection="1">
      <alignment wrapText="1"/>
    </xf>
    <xf numFmtId="0" fontId="39" fillId="33" borderId="0" xfId="0" applyFont="1" applyFill="1" applyAlignment="1" applyProtection="1"/>
    <xf numFmtId="0" fontId="57" fillId="33" borderId="0" xfId="0" applyFont="1" applyFill="1" applyBorder="1" applyAlignment="1" applyProtection="1">
      <alignment vertical="center" wrapText="1"/>
    </xf>
    <xf numFmtId="0" fontId="51" fillId="25" borderId="47" xfId="0" applyFont="1" applyFill="1" applyBorder="1" applyAlignment="1" applyProtection="1">
      <alignment vertical="center" wrapText="1"/>
    </xf>
    <xf numFmtId="0" fontId="51" fillId="35" borderId="56" xfId="0" applyFont="1" applyFill="1" applyBorder="1" applyAlignment="1" applyProtection="1">
      <alignment horizontal="center" vertical="center"/>
    </xf>
    <xf numFmtId="0" fontId="39" fillId="48" borderId="11" xfId="0" applyFont="1" applyFill="1" applyBorder="1" applyAlignment="1" applyProtection="1">
      <alignment horizontal="center" vertical="center"/>
    </xf>
    <xf numFmtId="0" fontId="39" fillId="48" borderId="53" xfId="0" applyFont="1" applyFill="1" applyBorder="1" applyAlignment="1" applyProtection="1">
      <alignment horizontal="center" vertical="center"/>
    </xf>
    <xf numFmtId="0" fontId="39" fillId="48" borderId="44" xfId="0" applyFont="1" applyFill="1" applyBorder="1" applyAlignment="1" applyProtection="1">
      <alignment horizontal="center" vertical="center"/>
    </xf>
    <xf numFmtId="0" fontId="51" fillId="25" borderId="57" xfId="0" applyFont="1" applyFill="1" applyBorder="1" applyAlignment="1" applyProtection="1">
      <alignment vertical="center" wrapText="1"/>
    </xf>
    <xf numFmtId="0" fontId="39" fillId="48" borderId="53" xfId="0" applyFont="1" applyFill="1" applyBorder="1" applyAlignment="1" applyProtection="1">
      <alignment horizontal="center" vertical="center" wrapText="1"/>
    </xf>
    <xf numFmtId="0" fontId="51" fillId="25" borderId="52" xfId="0" applyFont="1" applyFill="1" applyBorder="1" applyAlignment="1" applyProtection="1">
      <alignment horizontal="center" textRotation="180"/>
    </xf>
    <xf numFmtId="0" fontId="51" fillId="25" borderId="44" xfId="0" applyFont="1" applyFill="1" applyBorder="1" applyAlignment="1" applyProtection="1">
      <alignment horizontal="center" textRotation="180"/>
    </xf>
    <xf numFmtId="0" fontId="51" fillId="25" borderId="41" xfId="0" applyFont="1" applyFill="1" applyBorder="1" applyAlignment="1" applyProtection="1">
      <alignment horizontal="center" textRotation="180"/>
    </xf>
    <xf numFmtId="0" fontId="51" fillId="26" borderId="52" xfId="0" applyFont="1" applyFill="1" applyBorder="1" applyAlignment="1" applyProtection="1">
      <alignment horizontal="center" textRotation="180"/>
    </xf>
    <xf numFmtId="0" fontId="51" fillId="26" borderId="44" xfId="0" applyFont="1" applyFill="1" applyBorder="1" applyAlignment="1" applyProtection="1">
      <alignment horizontal="center" textRotation="180"/>
    </xf>
    <xf numFmtId="0" fontId="51" fillId="26" borderId="44" xfId="0" applyFont="1" applyFill="1" applyBorder="1" applyAlignment="1" applyProtection="1">
      <alignment horizontal="center" textRotation="180" wrapText="1"/>
    </xf>
    <xf numFmtId="0" fontId="51" fillId="26" borderId="45" xfId="0" applyFont="1" applyFill="1" applyBorder="1" applyAlignment="1" applyProtection="1">
      <alignment horizontal="center" textRotation="180"/>
    </xf>
    <xf numFmtId="0" fontId="51" fillId="27" borderId="36" xfId="134" applyFont="1" applyFill="1" applyBorder="1" applyAlignment="1" applyProtection="1">
      <alignment horizontal="center" wrapText="1"/>
    </xf>
    <xf numFmtId="0" fontId="51" fillId="25" borderId="18" xfId="0" applyFont="1" applyFill="1" applyBorder="1" applyAlignment="1" applyProtection="1">
      <alignment horizontal="center" wrapText="1"/>
    </xf>
    <xf numFmtId="0" fontId="51" fillId="25" borderId="0" xfId="0" applyFont="1" applyFill="1" applyBorder="1" applyAlignment="1" applyProtection="1">
      <alignment horizontal="center" wrapText="1"/>
    </xf>
    <xf numFmtId="0" fontId="58" fillId="25" borderId="0" xfId="134" applyFont="1" applyFill="1" applyBorder="1" applyAlignment="1" applyProtection="1">
      <alignment horizontal="center" wrapText="1"/>
    </xf>
    <xf numFmtId="0" fontId="51" fillId="25" borderId="0" xfId="0" applyFont="1" applyFill="1" applyBorder="1" applyAlignment="1" applyProtection="1">
      <alignment horizontal="center"/>
    </xf>
    <xf numFmtId="0" fontId="51" fillId="25" borderId="23" xfId="0" applyFont="1" applyFill="1" applyBorder="1" applyAlignment="1" applyProtection="1">
      <alignment horizontal="center" wrapText="1"/>
    </xf>
    <xf numFmtId="0" fontId="39" fillId="33" borderId="0" xfId="0" applyFont="1" applyFill="1" applyBorder="1" applyAlignment="1" applyProtection="1"/>
    <xf numFmtId="0" fontId="39" fillId="33" borderId="0" xfId="0" applyFont="1" applyFill="1" applyBorder="1" applyAlignment="1" applyProtection="1">
      <alignment horizontal="center"/>
    </xf>
    <xf numFmtId="0" fontId="39" fillId="33" borderId="0" xfId="0" applyFont="1" applyFill="1" applyBorder="1" applyProtection="1"/>
    <xf numFmtId="0" fontId="39" fillId="33" borderId="0" xfId="0" applyFont="1" applyFill="1" applyAlignment="1" applyProtection="1">
      <alignment horizontal="center"/>
    </xf>
    <xf numFmtId="0" fontId="39" fillId="31" borderId="0" xfId="0" applyFont="1" applyFill="1" applyProtection="1"/>
    <xf numFmtId="0" fontId="41" fillId="31" borderId="0" xfId="0" applyFont="1" applyFill="1" applyProtection="1"/>
    <xf numFmtId="0" fontId="51" fillId="25" borderId="24" xfId="0" applyFont="1" applyFill="1" applyBorder="1" applyAlignment="1" applyProtection="1">
      <alignment horizontal="center" textRotation="180"/>
    </xf>
    <xf numFmtId="0" fontId="51" fillId="25" borderId="43" xfId="0" applyFont="1" applyFill="1" applyBorder="1" applyAlignment="1" applyProtection="1">
      <alignment horizontal="center" textRotation="180"/>
    </xf>
    <xf numFmtId="0" fontId="51" fillId="25" borderId="43" xfId="0" applyFont="1" applyFill="1" applyBorder="1" applyAlignment="1" applyProtection="1">
      <alignment horizontal="center" textRotation="180" wrapText="1"/>
    </xf>
    <xf numFmtId="0" fontId="39" fillId="33" borderId="44" xfId="0" applyFont="1" applyFill="1" applyBorder="1" applyAlignment="1" applyProtection="1">
      <alignment horizontal="center"/>
      <protection locked="0"/>
    </xf>
    <xf numFmtId="0" fontId="49" fillId="33" borderId="0" xfId="0" applyFont="1" applyFill="1" applyProtection="1"/>
    <xf numFmtId="0" fontId="39" fillId="33" borderId="0" xfId="0" applyFont="1" applyFill="1" applyAlignment="1" applyProtection="1">
      <alignment horizontal="left" wrapText="1"/>
    </xf>
    <xf numFmtId="0" fontId="59" fillId="33" borderId="0" xfId="0" applyFont="1" applyFill="1" applyBorder="1" applyAlignment="1" applyProtection="1"/>
    <xf numFmtId="0" fontId="51" fillId="25" borderId="42" xfId="0" applyFont="1" applyFill="1" applyBorder="1" applyProtection="1"/>
    <xf numFmtId="0" fontId="51" fillId="25" borderId="18" xfId="0" applyFont="1" applyFill="1" applyBorder="1" applyAlignment="1" applyProtection="1">
      <alignment horizontal="center"/>
    </xf>
    <xf numFmtId="0" fontId="51" fillId="25" borderId="18" xfId="0" applyFont="1" applyFill="1" applyBorder="1" applyProtection="1"/>
    <xf numFmtId="0" fontId="58" fillId="25" borderId="56" xfId="134" applyFont="1" applyFill="1" applyBorder="1" applyAlignment="1" applyProtection="1">
      <alignment horizontal="center" wrapText="1"/>
    </xf>
    <xf numFmtId="0" fontId="39" fillId="31" borderId="0" xfId="134" applyFont="1" applyFill="1" applyBorder="1" applyAlignment="1" applyProtection="1"/>
    <xf numFmtId="0" fontId="39" fillId="31" borderId="0" xfId="0" applyFont="1" applyFill="1" applyBorder="1" applyProtection="1"/>
    <xf numFmtId="0" fontId="39" fillId="33" borderId="0" xfId="0" applyFont="1" applyFill="1" applyProtection="1">
      <protection locked="0"/>
    </xf>
    <xf numFmtId="0" fontId="39" fillId="33" borderId="0" xfId="0" applyFont="1" applyFill="1" applyAlignment="1" applyProtection="1">
      <alignment horizontal="center"/>
      <protection locked="0"/>
    </xf>
    <xf numFmtId="0" fontId="39" fillId="33" borderId="0" xfId="0" applyFont="1" applyFill="1" applyBorder="1" applyAlignment="1"/>
    <xf numFmtId="0" fontId="39" fillId="34" borderId="36" xfId="0" applyFont="1" applyFill="1" applyBorder="1"/>
    <xf numFmtId="0" fontId="39" fillId="33" borderId="0" xfId="0" applyFont="1" applyFill="1" applyBorder="1"/>
    <xf numFmtId="0" fontId="39" fillId="34" borderId="36" xfId="0" applyFont="1" applyFill="1" applyBorder="1" applyAlignment="1">
      <alignment wrapText="1"/>
    </xf>
    <xf numFmtId="0" fontId="51" fillId="35" borderId="36" xfId="0" applyFont="1" applyFill="1" applyBorder="1" applyAlignment="1" applyProtection="1">
      <alignment horizontal="center" vertical="center"/>
    </xf>
    <xf numFmtId="0" fontId="39" fillId="33" borderId="36" xfId="0" applyFont="1" applyFill="1" applyBorder="1" applyAlignment="1" applyProtection="1">
      <alignment horizontal="center" vertical="center"/>
      <protection locked="0"/>
    </xf>
    <xf numFmtId="0" fontId="39" fillId="33" borderId="38" xfId="0" applyFont="1" applyFill="1" applyBorder="1" applyAlignment="1" applyProtection="1">
      <alignment horizontal="center" vertical="center"/>
      <protection locked="0"/>
    </xf>
    <xf numFmtId="0" fontId="39" fillId="40" borderId="36" xfId="0" applyFont="1" applyFill="1" applyBorder="1" applyAlignment="1">
      <alignment horizontal="center" vertical="center"/>
    </xf>
    <xf numFmtId="0" fontId="39" fillId="33" borderId="59" xfId="0" applyFont="1" applyFill="1" applyBorder="1" applyAlignment="1" applyProtection="1">
      <alignment horizontal="center" vertical="center"/>
    </xf>
    <xf numFmtId="0" fontId="39" fillId="36" borderId="36" xfId="0" applyFont="1" applyFill="1" applyBorder="1" applyAlignment="1">
      <alignment horizontal="center" vertical="center" wrapText="1"/>
    </xf>
    <xf numFmtId="0" fontId="39" fillId="33" borderId="52" xfId="0" applyFont="1" applyFill="1" applyBorder="1" applyAlignment="1" applyProtection="1">
      <alignment horizontal="center" vertical="center"/>
    </xf>
    <xf numFmtId="167" fontId="39" fillId="37" borderId="36" xfId="0" applyNumberFormat="1" applyFont="1" applyFill="1" applyBorder="1" applyAlignment="1">
      <alignment horizontal="center" vertical="center"/>
    </xf>
    <xf numFmtId="0" fontId="41" fillId="35" borderId="37" xfId="0" applyFont="1" applyFill="1" applyBorder="1" applyAlignment="1" applyProtection="1">
      <alignment horizontal="center" vertical="center" wrapText="1"/>
    </xf>
    <xf numFmtId="0" fontId="41" fillId="35" borderId="36" xfId="0" applyFont="1" applyFill="1" applyBorder="1" applyAlignment="1" applyProtection="1">
      <alignment horizontal="center" vertical="center" wrapText="1"/>
    </xf>
    <xf numFmtId="0" fontId="39" fillId="35" borderId="36" xfId="0" applyFont="1" applyFill="1" applyBorder="1" applyAlignment="1" applyProtection="1">
      <alignment horizontal="center" vertical="center" wrapText="1"/>
    </xf>
    <xf numFmtId="0" fontId="41" fillId="35" borderId="44" xfId="0" applyFont="1" applyFill="1" applyBorder="1" applyAlignment="1" applyProtection="1">
      <alignment horizontal="center" vertical="center" wrapText="1"/>
    </xf>
    <xf numFmtId="0" fontId="52" fillId="33" borderId="0" xfId="0" applyFont="1" applyFill="1"/>
    <xf numFmtId="0" fontId="39" fillId="33" borderId="0" xfId="0" applyFont="1" applyFill="1" applyBorder="1" applyAlignment="1">
      <alignment vertical="center"/>
    </xf>
    <xf numFmtId="0" fontId="39" fillId="33" borderId="36" xfId="0" applyFont="1" applyFill="1" applyBorder="1" applyAlignment="1">
      <alignment horizontal="center"/>
    </xf>
    <xf numFmtId="0" fontId="42" fillId="33" borderId="0" xfId="0" applyFont="1" applyFill="1" applyBorder="1" applyAlignment="1" applyProtection="1">
      <alignment horizontal="left" vertical="center" wrapText="1"/>
    </xf>
    <xf numFmtId="0" fontId="42" fillId="33" borderId="0" xfId="0" applyFont="1" applyFill="1" applyAlignment="1">
      <alignment horizontal="left" vertical="top" wrapText="1"/>
    </xf>
    <xf numFmtId="0" fontId="39" fillId="33" borderId="0" xfId="0" applyFont="1" applyFill="1" applyAlignment="1">
      <alignment horizontal="left"/>
    </xf>
    <xf numFmtId="0" fontId="42" fillId="33" borderId="0" xfId="0" applyFont="1" applyFill="1" applyAlignment="1">
      <alignment horizontal="left" vertical="top" wrapText="1" indent="1"/>
    </xf>
    <xf numFmtId="168" fontId="41" fillId="40" borderId="0" xfId="0" applyNumberFormat="1" applyFont="1" applyFill="1" applyBorder="1" applyAlignment="1" applyProtection="1">
      <alignment horizontal="right" indent="1"/>
    </xf>
    <xf numFmtId="168" fontId="43" fillId="40" borderId="0" xfId="0" applyNumberFormat="1" applyFont="1" applyFill="1" applyBorder="1" applyAlignment="1" applyProtection="1">
      <alignment horizontal="left" vertical="center" indent="1"/>
    </xf>
    <xf numFmtId="168" fontId="43" fillId="33" borderId="0" xfId="0" applyNumberFormat="1" applyFont="1" applyFill="1" applyBorder="1" applyAlignment="1" applyProtection="1">
      <alignment horizontal="right" indent="1"/>
    </xf>
    <xf numFmtId="0" fontId="56" fillId="40" borderId="0" xfId="0" applyFont="1" applyFill="1" applyBorder="1" applyAlignment="1" applyProtection="1">
      <alignment horizontal="center" vertical="center"/>
    </xf>
    <xf numFmtId="0" fontId="60" fillId="31" borderId="0" xfId="0" applyFont="1" applyFill="1" applyBorder="1" applyAlignment="1" applyProtection="1"/>
    <xf numFmtId="0" fontId="60" fillId="31" borderId="0" xfId="0" applyFont="1" applyFill="1" applyBorder="1" applyAlignment="1" applyProtection="1">
      <alignment horizontal="right"/>
    </xf>
    <xf numFmtId="0" fontId="61" fillId="49" borderId="0" xfId="0" applyFont="1" applyFill="1" applyAlignment="1" applyProtection="1"/>
    <xf numFmtId="0" fontId="51" fillId="40" borderId="0" xfId="0" applyNumberFormat="1" applyFont="1" applyFill="1" applyBorder="1" applyAlignment="1" applyProtection="1">
      <alignment horizontal="left" vertical="center" wrapText="1"/>
    </xf>
    <xf numFmtId="0" fontId="51" fillId="50" borderId="0" xfId="0" applyNumberFormat="1" applyFont="1" applyFill="1" applyBorder="1" applyAlignment="1" applyProtection="1">
      <alignment horizontal="left" vertical="center"/>
    </xf>
    <xf numFmtId="0" fontId="51" fillId="50" borderId="0" xfId="0" applyNumberFormat="1" applyFont="1" applyFill="1" applyBorder="1" applyAlignment="1" applyProtection="1">
      <alignment horizontal="left" vertical="center" wrapText="1"/>
    </xf>
    <xf numFmtId="0" fontId="61" fillId="49" borderId="0" xfId="156" applyFont="1" applyFill="1" applyProtection="1"/>
    <xf numFmtId="0" fontId="39" fillId="51" borderId="0" xfId="0" applyFont="1" applyFill="1" applyAlignment="1" applyProtection="1"/>
    <xf numFmtId="0" fontId="51" fillId="51" borderId="10" xfId="0" applyNumberFormat="1" applyFont="1" applyFill="1" applyBorder="1" applyAlignment="1" applyProtection="1">
      <alignment horizontal="left" vertical="center"/>
    </xf>
    <xf numFmtId="0" fontId="51" fillId="51" borderId="19" xfId="0" applyNumberFormat="1" applyFont="1" applyFill="1" applyBorder="1" applyAlignment="1" applyProtection="1">
      <alignment horizontal="left" vertical="center" wrapText="1"/>
    </xf>
    <xf numFmtId="0" fontId="41" fillId="40" borderId="19" xfId="0" applyNumberFormat="1" applyFont="1" applyFill="1" applyBorder="1" applyAlignment="1" applyProtection="1">
      <alignment horizontal="left" vertical="center"/>
    </xf>
    <xf numFmtId="0" fontId="51" fillId="40" borderId="19" xfId="0" applyNumberFormat="1" applyFont="1" applyFill="1" applyBorder="1" applyAlignment="1" applyProtection="1">
      <alignment horizontal="left" vertical="center" wrapText="1"/>
    </xf>
    <xf numFmtId="0" fontId="51" fillId="40" borderId="11" xfId="0" applyNumberFormat="1" applyFont="1" applyFill="1" applyBorder="1" applyAlignment="1" applyProtection="1">
      <alignment horizontal="left" vertical="center" wrapText="1"/>
    </xf>
    <xf numFmtId="0" fontId="51" fillId="40" borderId="0" xfId="0" applyFont="1" applyFill="1" applyBorder="1" applyAlignment="1" applyProtection="1">
      <alignment horizontal="left" vertical="center"/>
    </xf>
    <xf numFmtId="0" fontId="56" fillId="51" borderId="17" xfId="0" applyFont="1" applyFill="1" applyBorder="1" applyAlignment="1" applyProtection="1">
      <alignment horizontal="left" vertical="center"/>
    </xf>
    <xf numFmtId="0" fontId="56" fillId="51" borderId="18" xfId="0" applyFont="1" applyFill="1" applyBorder="1" applyAlignment="1" applyProtection="1">
      <alignment horizontal="left" vertical="center"/>
    </xf>
    <xf numFmtId="0" fontId="41" fillId="40" borderId="20" xfId="0" applyFont="1" applyFill="1" applyBorder="1" applyAlignment="1" applyProtection="1">
      <alignment horizontal="left" vertical="center"/>
    </xf>
    <xf numFmtId="0" fontId="56" fillId="52" borderId="62" xfId="0" applyFont="1" applyFill="1" applyBorder="1" applyAlignment="1" applyProtection="1">
      <alignment horizontal="center" vertical="center"/>
    </xf>
    <xf numFmtId="0" fontId="39" fillId="33" borderId="63" xfId="0" applyFont="1" applyFill="1" applyBorder="1" applyAlignment="1" applyProtection="1">
      <alignment horizontal="center" vertical="center"/>
    </xf>
    <xf numFmtId="0" fontId="56" fillId="52" borderId="63" xfId="0" applyFont="1" applyFill="1" applyBorder="1" applyAlignment="1" applyProtection="1">
      <alignment horizontal="center" vertical="center"/>
    </xf>
    <xf numFmtId="0" fontId="39" fillId="33" borderId="64" xfId="0" applyFont="1" applyFill="1" applyBorder="1" applyAlignment="1" applyProtection="1">
      <alignment horizontal="center" vertical="center"/>
    </xf>
    <xf numFmtId="1" fontId="39" fillId="51" borderId="0" xfId="0" applyNumberFormat="1" applyFont="1" applyFill="1" applyAlignment="1" applyProtection="1"/>
    <xf numFmtId="0" fontId="39" fillId="50" borderId="0" xfId="0" applyFont="1" applyFill="1" applyBorder="1" applyProtection="1"/>
    <xf numFmtId="0" fontId="42" fillId="40" borderId="0" xfId="0" applyFont="1" applyFill="1" applyBorder="1" applyAlignment="1" applyProtection="1">
      <alignment vertical="center" wrapText="1"/>
    </xf>
    <xf numFmtId="0" fontId="39" fillId="50" borderId="0" xfId="0" applyFont="1" applyFill="1" applyBorder="1" applyAlignment="1" applyProtection="1">
      <alignment vertical="center" wrapText="1"/>
    </xf>
    <xf numFmtId="0" fontId="39" fillId="33" borderId="0" xfId="152" applyFont="1" applyFill="1" applyAlignment="1" applyProtection="1">
      <alignment vertical="center"/>
    </xf>
    <xf numFmtId="0" fontId="39" fillId="40" borderId="0" xfId="0" applyFont="1" applyFill="1" applyBorder="1" applyAlignment="1" applyProtection="1"/>
    <xf numFmtId="0" fontId="39" fillId="50" borderId="0" xfId="0" applyFont="1" applyFill="1" applyBorder="1" applyAlignment="1" applyProtection="1">
      <alignment horizontal="left" vertical="center" wrapText="1"/>
    </xf>
    <xf numFmtId="0" fontId="39" fillId="33" borderId="0" xfId="150" applyFont="1" applyFill="1" applyAlignment="1" applyProtection="1">
      <alignment vertical="center"/>
    </xf>
    <xf numFmtId="0" fontId="43" fillId="33" borderId="0" xfId="0" applyFont="1" applyFill="1" applyBorder="1" applyAlignment="1" applyProtection="1">
      <alignment horizontal="left" vertical="center" wrapText="1"/>
    </xf>
    <xf numFmtId="0" fontId="39" fillId="53" borderId="0" xfId="0" applyFont="1" applyFill="1" applyAlignment="1" applyProtection="1"/>
    <xf numFmtId="0" fontId="43" fillId="40" borderId="0" xfId="0" applyFont="1" applyFill="1" applyBorder="1" applyAlignment="1" applyProtection="1">
      <alignment vertical="center" wrapText="1"/>
    </xf>
    <xf numFmtId="0" fontId="56" fillId="45" borderId="38" xfId="0" applyFont="1" applyFill="1" applyBorder="1" applyAlignment="1" applyProtection="1">
      <alignment horizontal="center" vertical="center" wrapText="1"/>
    </xf>
    <xf numFmtId="0" fontId="39" fillId="40" borderId="0" xfId="0" applyFont="1" applyFill="1" applyAlignment="1" applyProtection="1">
      <alignment vertical="center"/>
    </xf>
    <xf numFmtId="0" fontId="39" fillId="54" borderId="0" xfId="0" applyFont="1" applyFill="1" applyAlignment="1" applyProtection="1">
      <alignment horizontal="center" vertical="center"/>
    </xf>
    <xf numFmtId="0" fontId="51" fillId="33" borderId="0" xfId="0" applyFont="1" applyFill="1" applyBorder="1" applyAlignment="1" applyProtection="1"/>
    <xf numFmtId="0" fontId="39" fillId="36" borderId="0" xfId="0" applyFont="1" applyFill="1" applyBorder="1" applyAlignment="1" applyProtection="1">
      <alignment vertical="center"/>
    </xf>
    <xf numFmtId="0" fontId="39" fillId="28" borderId="0" xfId="0" applyFont="1" applyFill="1" applyBorder="1" applyAlignment="1" applyProtection="1">
      <alignment vertical="center"/>
    </xf>
    <xf numFmtId="0" fontId="39" fillId="54" borderId="0" xfId="0" applyFont="1" applyFill="1" applyBorder="1" applyAlignment="1" applyProtection="1">
      <alignment vertical="center"/>
    </xf>
    <xf numFmtId="0" fontId="39" fillId="40" borderId="36" xfId="0" applyFont="1" applyFill="1" applyBorder="1" applyAlignment="1" applyProtection="1">
      <alignment horizontal="center" vertical="center" wrapText="1"/>
      <protection locked="0"/>
    </xf>
    <xf numFmtId="0" fontId="39" fillId="55" borderId="0" xfId="0" applyFont="1" applyFill="1" applyAlignment="1" applyProtection="1">
      <alignment horizontal="center" vertical="center"/>
    </xf>
    <xf numFmtId="0" fontId="39" fillId="56" borderId="0" xfId="0" applyFont="1" applyFill="1" applyBorder="1" applyAlignment="1" applyProtection="1"/>
    <xf numFmtId="0" fontId="62" fillId="40" borderId="0" xfId="0" applyFont="1" applyFill="1" applyBorder="1" applyAlignment="1" applyProtection="1">
      <alignment horizontal="center" vertical="center" wrapText="1"/>
    </xf>
    <xf numFmtId="14" fontId="39" fillId="40" borderId="0" xfId="0" applyNumberFormat="1" applyFont="1" applyFill="1" applyProtection="1"/>
    <xf numFmtId="0" fontId="60" fillId="33" borderId="0" xfId="0" applyFont="1" applyFill="1" applyBorder="1" applyAlignment="1" applyProtection="1"/>
    <xf numFmtId="0" fontId="63" fillId="33" borderId="0" xfId="0" applyFont="1" applyFill="1" applyBorder="1" applyAlignment="1" applyProtection="1"/>
    <xf numFmtId="0" fontId="39" fillId="56" borderId="0" xfId="0" applyFont="1" applyFill="1" applyAlignment="1" applyProtection="1"/>
    <xf numFmtId="0" fontId="56" fillId="40" borderId="0" xfId="0" applyFont="1" applyFill="1" applyBorder="1" applyAlignment="1" applyProtection="1">
      <alignment horizontal="center" vertical="center" wrapText="1"/>
    </xf>
    <xf numFmtId="0" fontId="39" fillId="56" borderId="0" xfId="0" applyFont="1" applyFill="1" applyProtection="1"/>
    <xf numFmtId="0" fontId="39" fillId="56" borderId="0" xfId="0" applyFont="1" applyFill="1" applyAlignment="1" applyProtection="1">
      <alignment vertical="center"/>
    </xf>
    <xf numFmtId="0" fontId="39" fillId="56" borderId="0" xfId="0" applyFont="1" applyFill="1" applyAlignment="1" applyProtection="1">
      <alignment wrapText="1"/>
    </xf>
    <xf numFmtId="0" fontId="62" fillId="0" borderId="0" xfId="0" applyFont="1" applyFill="1" applyBorder="1" applyAlignment="1" applyProtection="1">
      <alignment horizontal="center" vertical="center" wrapText="1"/>
    </xf>
    <xf numFmtId="0" fontId="51" fillId="40" borderId="0" xfId="0" applyFont="1" applyFill="1" applyBorder="1" applyAlignment="1" applyProtection="1">
      <alignment vertical="center" wrapText="1"/>
    </xf>
    <xf numFmtId="0" fontId="60" fillId="40" borderId="0" xfId="0" applyFont="1" applyFill="1" applyBorder="1" applyAlignment="1" applyProtection="1"/>
    <xf numFmtId="0" fontId="39" fillId="40" borderId="0" xfId="0" applyFont="1" applyFill="1" applyBorder="1" applyAlignment="1" applyProtection="1">
      <alignment horizontal="left" vertical="top" wrapText="1"/>
    </xf>
    <xf numFmtId="0" fontId="62" fillId="51" borderId="0" xfId="0" applyFont="1" applyFill="1" applyBorder="1" applyAlignment="1" applyProtection="1">
      <alignment horizontal="center" vertical="center" wrapText="1"/>
    </xf>
    <xf numFmtId="0" fontId="51" fillId="40" borderId="0" xfId="0" applyFont="1" applyFill="1" applyBorder="1" applyAlignment="1" applyProtection="1">
      <alignment vertical="center"/>
    </xf>
    <xf numFmtId="0" fontId="39" fillId="51" borderId="0" xfId="0" applyFont="1" applyFill="1" applyBorder="1" applyAlignment="1" applyProtection="1">
      <alignment horizontal="center" vertical="center"/>
    </xf>
    <xf numFmtId="0" fontId="39" fillId="40" borderId="0" xfId="0" applyFont="1" applyFill="1" applyBorder="1" applyAlignment="1" applyProtection="1">
      <alignment vertical="center"/>
    </xf>
    <xf numFmtId="0" fontId="38" fillId="40" borderId="0" xfId="0" applyFont="1" applyFill="1" applyBorder="1" applyAlignment="1" applyProtection="1"/>
    <xf numFmtId="0" fontId="39" fillId="50" borderId="0" xfId="0" applyFont="1" applyFill="1" applyBorder="1" applyAlignment="1" applyProtection="1">
      <alignment horizontal="left" vertical="top" wrapText="1"/>
    </xf>
    <xf numFmtId="0" fontId="39" fillId="51" borderId="0" xfId="0" applyFont="1" applyFill="1" applyBorder="1" applyAlignment="1" applyProtection="1">
      <alignment horizontal="center" vertical="center" wrapText="1"/>
    </xf>
    <xf numFmtId="0" fontId="41" fillId="40" borderId="0" xfId="0" applyFont="1" applyFill="1" applyBorder="1" applyAlignment="1" applyProtection="1">
      <alignment horizontal="left" vertical="center"/>
    </xf>
    <xf numFmtId="0" fontId="39" fillId="33" borderId="0" xfId="150" applyFont="1" applyFill="1" applyAlignment="1" applyProtection="1">
      <alignment horizontal="left" vertical="center"/>
    </xf>
    <xf numFmtId="0" fontId="39" fillId="40" borderId="0" xfId="0" applyFont="1" applyFill="1" applyBorder="1" applyAlignment="1" applyProtection="1">
      <alignment horizontal="center" vertical="center" wrapText="1"/>
    </xf>
    <xf numFmtId="0" fontId="51" fillId="40" borderId="0" xfId="0" applyFont="1" applyFill="1" applyProtection="1"/>
    <xf numFmtId="0" fontId="39" fillId="50" borderId="0" xfId="0" applyFont="1" applyFill="1" applyAlignment="1" applyProtection="1"/>
    <xf numFmtId="0" fontId="39" fillId="33" borderId="0" xfId="0" applyFont="1" applyFill="1" applyAlignment="1" applyProtection="1">
      <alignment horizontal="left" vertical="center"/>
    </xf>
    <xf numFmtId="0" fontId="51" fillId="40" borderId="0" xfId="0" applyFont="1" applyFill="1" applyBorder="1" applyAlignment="1" applyProtection="1">
      <alignment horizontal="center" vertical="center"/>
    </xf>
    <xf numFmtId="0" fontId="39" fillId="40" borderId="0" xfId="0" applyFont="1" applyFill="1" applyBorder="1" applyAlignment="1" applyProtection="1">
      <alignment horizontal="left" vertical="center"/>
    </xf>
    <xf numFmtId="0" fontId="43" fillId="40" borderId="0" xfId="0" applyFont="1" applyFill="1" applyBorder="1" applyAlignment="1" applyProtection="1">
      <alignment vertical="center"/>
    </xf>
    <xf numFmtId="0" fontId="39" fillId="50" borderId="0" xfId="0" applyFont="1" applyFill="1" applyBorder="1" applyAlignment="1" applyProtection="1">
      <alignment horizontal="left" vertical="center"/>
    </xf>
    <xf numFmtId="0" fontId="39" fillId="40" borderId="0" xfId="0" applyFont="1" applyFill="1" applyBorder="1" applyAlignment="1" applyProtection="1">
      <alignment horizontal="left" vertical="center" wrapText="1"/>
    </xf>
    <xf numFmtId="14" fontId="39" fillId="40" borderId="0" xfId="0" applyNumberFormat="1" applyFont="1" applyFill="1" applyBorder="1" applyProtection="1"/>
    <xf numFmtId="0" fontId="39" fillId="40" borderId="38" xfId="0" applyFont="1" applyFill="1" applyBorder="1" applyAlignment="1" applyProtection="1">
      <alignment horizontal="center" vertical="center" wrapText="1"/>
      <protection locked="0"/>
    </xf>
    <xf numFmtId="0" fontId="38" fillId="40" borderId="0" xfId="0" applyFont="1" applyFill="1" applyBorder="1" applyAlignment="1" applyProtection="1">
      <protection locked="0"/>
    </xf>
    <xf numFmtId="0" fontId="39" fillId="33" borderId="0" xfId="0" applyFont="1" applyFill="1" applyAlignment="1">
      <alignment vertical="center"/>
    </xf>
    <xf numFmtId="0" fontId="41" fillId="33" borderId="59" xfId="0" applyFont="1" applyFill="1" applyBorder="1" applyAlignment="1">
      <alignment vertical="center" wrapText="1"/>
    </xf>
    <xf numFmtId="0" fontId="41" fillId="33" borderId="58" xfId="0" applyFont="1" applyFill="1" applyBorder="1" applyAlignment="1">
      <alignment horizontal="left" vertical="center" wrapText="1"/>
    </xf>
    <xf numFmtId="0" fontId="41" fillId="33" borderId="58" xfId="0" applyFont="1" applyFill="1" applyBorder="1" applyAlignment="1">
      <alignment vertical="center" wrapText="1"/>
    </xf>
    <xf numFmtId="0" fontId="41" fillId="33" borderId="52" xfId="0" applyFont="1" applyFill="1" applyBorder="1" applyAlignment="1">
      <alignment vertical="center" wrapText="1"/>
    </xf>
    <xf numFmtId="0" fontId="41" fillId="0" borderId="22" xfId="0" applyFont="1" applyBorder="1" applyAlignment="1">
      <alignment horizontal="left" vertical="center" wrapText="1"/>
    </xf>
    <xf numFmtId="0" fontId="48" fillId="0" borderId="0" xfId="134" applyFont="1" applyAlignment="1" applyProtection="1">
      <alignment vertical="center"/>
    </xf>
    <xf numFmtId="0" fontId="41" fillId="0" borderId="34" xfId="0" applyFont="1" applyBorder="1" applyAlignment="1">
      <alignment vertical="center" wrapText="1"/>
    </xf>
    <xf numFmtId="0" fontId="47" fillId="33" borderId="0" xfId="0" applyFont="1" applyFill="1"/>
    <xf numFmtId="0" fontId="39" fillId="33" borderId="0" xfId="0" applyFont="1" applyFill="1" applyAlignment="1">
      <alignment vertical="center" wrapText="1"/>
    </xf>
    <xf numFmtId="0" fontId="53" fillId="33" borderId="0" xfId="0" applyFont="1" applyFill="1" applyAlignment="1">
      <alignment vertical="center" wrapText="1"/>
    </xf>
    <xf numFmtId="0" fontId="41" fillId="24" borderId="0" xfId="0" applyFont="1" applyFill="1" applyAlignment="1" applyProtection="1">
      <alignment wrapText="1"/>
    </xf>
    <xf numFmtId="0" fontId="41" fillId="24" borderId="0" xfId="0" applyFont="1" applyFill="1" applyProtection="1"/>
    <xf numFmtId="0" fontId="41" fillId="27" borderId="0" xfId="0" applyFont="1" applyFill="1" applyAlignment="1" applyProtection="1">
      <alignment wrapText="1"/>
    </xf>
    <xf numFmtId="0" fontId="41" fillId="27" borderId="0" xfId="0" applyFont="1" applyFill="1" applyProtection="1"/>
    <xf numFmtId="0" fontId="41" fillId="26" borderId="0" xfId="0" applyFont="1" applyFill="1" applyAlignment="1" applyProtection="1">
      <alignment wrapText="1"/>
    </xf>
    <xf numFmtId="0" fontId="41" fillId="26" borderId="0" xfId="0" applyFont="1" applyFill="1" applyProtection="1"/>
    <xf numFmtId="0" fontId="41" fillId="28" borderId="0" xfId="0" applyFont="1" applyFill="1" applyBorder="1" applyAlignment="1" applyProtection="1">
      <alignment wrapText="1"/>
    </xf>
    <xf numFmtId="0" fontId="41" fillId="28" borderId="0" xfId="0" applyFont="1" applyFill="1" applyBorder="1" applyProtection="1"/>
    <xf numFmtId="0" fontId="41" fillId="29" borderId="0" xfId="0" applyFont="1" applyFill="1" applyBorder="1" applyAlignment="1" applyProtection="1">
      <alignment wrapText="1"/>
    </xf>
    <xf numFmtId="0" fontId="41" fillId="29" borderId="0" xfId="0" applyFont="1" applyFill="1" applyBorder="1" applyProtection="1"/>
    <xf numFmtId="0" fontId="41" fillId="30" borderId="0" xfId="0" applyFont="1" applyFill="1" applyBorder="1" applyAlignment="1" applyProtection="1">
      <alignment wrapText="1"/>
    </xf>
    <xf numFmtId="0" fontId="41" fillId="30" borderId="0" xfId="0" applyFont="1" applyFill="1" applyBorder="1" applyProtection="1"/>
    <xf numFmtId="0" fontId="41" fillId="24" borderId="0" xfId="0" applyFont="1" applyFill="1" applyBorder="1" applyProtection="1"/>
    <xf numFmtId="0" fontId="41" fillId="27" borderId="0" xfId="0" applyFont="1" applyFill="1" applyBorder="1" applyProtection="1"/>
    <xf numFmtId="1" fontId="41" fillId="26" borderId="0" xfId="0" applyNumberFormat="1" applyFont="1" applyFill="1" applyBorder="1" applyProtection="1"/>
    <xf numFmtId="0" fontId="41" fillId="39" borderId="0" xfId="0" applyFont="1" applyFill="1" applyProtection="1"/>
    <xf numFmtId="0" fontId="41" fillId="0" borderId="0" xfId="0" applyFont="1" applyFill="1" applyProtection="1"/>
    <xf numFmtId="0" fontId="41" fillId="0" borderId="0" xfId="0" applyFont="1" applyProtection="1"/>
    <xf numFmtId="0" fontId="48" fillId="0" borderId="0" xfId="134" applyFont="1" applyAlignment="1" applyProtection="1">
      <alignment horizontal="right" indent="1"/>
    </xf>
    <xf numFmtId="0" fontId="45" fillId="0" borderId="0" xfId="156" applyFont="1"/>
    <xf numFmtId="0" fontId="39" fillId="0" borderId="0" xfId="0" applyFont="1" applyAlignment="1" applyProtection="1"/>
    <xf numFmtId="0" fontId="48" fillId="0" borderId="0" xfId="134" applyFont="1" applyAlignment="1" applyProtection="1">
      <alignment horizontal="right"/>
    </xf>
    <xf numFmtId="0" fontId="39" fillId="0" borderId="0" xfId="0" applyFont="1" applyFill="1" applyProtection="1"/>
    <xf numFmtId="0" fontId="39" fillId="0" borderId="0" xfId="0" applyFont="1" applyFill="1" applyAlignment="1" applyProtection="1"/>
    <xf numFmtId="0" fontId="39" fillId="0" borderId="0" xfId="0" applyFont="1" applyAlignment="1" applyProtection="1">
      <alignment wrapText="1"/>
    </xf>
    <xf numFmtId="1" fontId="39" fillId="0" borderId="0" xfId="0" applyNumberFormat="1" applyFont="1" applyProtection="1"/>
    <xf numFmtId="0" fontId="1" fillId="0" borderId="0" xfId="134" applyAlignment="1" applyProtection="1">
      <alignment horizontal="right" indent="1"/>
    </xf>
    <xf numFmtId="0" fontId="41" fillId="0" borderId="36" xfId="0" applyFont="1" applyBorder="1" applyAlignment="1" applyProtection="1">
      <alignment horizontal="center" vertical="center"/>
      <protection locked="0"/>
    </xf>
    <xf numFmtId="0" fontId="51" fillId="43" borderId="12" xfId="0" applyFont="1" applyFill="1" applyBorder="1" applyAlignment="1" applyProtection="1">
      <alignment horizontal="center" vertical="center" wrapText="1"/>
    </xf>
    <xf numFmtId="0" fontId="51" fillId="43" borderId="13" xfId="0" applyFont="1" applyFill="1" applyBorder="1" applyAlignment="1" applyProtection="1">
      <alignment horizontal="center" vertical="center" wrapText="1"/>
    </xf>
    <xf numFmtId="0" fontId="51" fillId="43" borderId="25" xfId="0" applyFont="1" applyFill="1" applyBorder="1" applyAlignment="1" applyProtection="1">
      <alignment horizontal="center" vertical="center" wrapText="1"/>
    </xf>
    <xf numFmtId="172" fontId="39" fillId="0" borderId="0" xfId="0" applyNumberFormat="1" applyFont="1" applyBorder="1" applyProtection="1"/>
    <xf numFmtId="14" fontId="39" fillId="0" borderId="27" xfId="0" applyNumberFormat="1" applyFont="1" applyBorder="1" applyProtection="1"/>
    <xf numFmtId="0" fontId="39" fillId="0" borderId="0" xfId="0" applyFont="1" applyFill="1" applyBorder="1" applyProtection="1"/>
    <xf numFmtId="0" fontId="39" fillId="0" borderId="0" xfId="0" applyFont="1" applyFill="1" applyBorder="1"/>
    <xf numFmtId="0" fontId="39" fillId="0" borderId="0" xfId="0" applyFont="1" applyFill="1" applyBorder="1" applyAlignment="1" applyProtection="1"/>
    <xf numFmtId="0" fontId="43" fillId="0" borderId="0" xfId="0" applyFont="1" applyFill="1" applyBorder="1" applyAlignment="1" applyProtection="1">
      <alignment vertical="center" wrapText="1"/>
    </xf>
    <xf numFmtId="0" fontId="48" fillId="0" borderId="0" xfId="134" applyFont="1" applyFill="1" applyBorder="1" applyAlignment="1" applyProtection="1">
      <alignment vertical="center" wrapText="1"/>
    </xf>
    <xf numFmtId="0" fontId="39" fillId="33" borderId="46" xfId="0" applyFont="1" applyFill="1" applyBorder="1" applyAlignment="1" applyProtection="1">
      <alignment horizontal="left" vertical="center" indent="2"/>
    </xf>
    <xf numFmtId="0" fontId="39" fillId="33" borderId="0" xfId="0" applyFont="1" applyFill="1" applyBorder="1" applyAlignment="1">
      <alignment vertical="center" wrapText="1"/>
    </xf>
    <xf numFmtId="0" fontId="39" fillId="34" borderId="10" xfId="0" applyFont="1" applyFill="1" applyBorder="1" applyAlignment="1">
      <alignment vertical="center"/>
    </xf>
    <xf numFmtId="0" fontId="64" fillId="0" borderId="0" xfId="0" applyFont="1" applyAlignment="1">
      <alignment horizontal="center" vertical="center"/>
    </xf>
    <xf numFmtId="3" fontId="39" fillId="33" borderId="36" xfId="0" applyNumberFormat="1" applyFont="1" applyFill="1" applyBorder="1" applyAlignment="1" applyProtection="1">
      <alignment horizontal="right" vertical="center"/>
      <protection locked="0"/>
    </xf>
    <xf numFmtId="0" fontId="39" fillId="31" borderId="0" xfId="0" applyNumberFormat="1" applyFont="1" applyFill="1"/>
    <xf numFmtId="0" fontId="39" fillId="0" borderId="0" xfId="0" applyNumberFormat="1" applyFont="1" applyAlignment="1">
      <alignment horizontal="right"/>
    </xf>
    <xf numFmtId="174" fontId="60" fillId="31" borderId="0" xfId="0" applyNumberFormat="1" applyFont="1" applyFill="1" applyBorder="1" applyAlignment="1" applyProtection="1"/>
    <xf numFmtId="173" fontId="60" fillId="31" borderId="0" xfId="0" applyNumberFormat="1" applyFont="1" applyFill="1" applyBorder="1" applyAlignment="1" applyProtection="1"/>
    <xf numFmtId="173" fontId="61" fillId="49" borderId="0" xfId="156" applyNumberFormat="1" applyFont="1" applyFill="1" applyProtection="1"/>
    <xf numFmtId="0" fontId="39" fillId="33" borderId="64" xfId="0" applyFont="1" applyFill="1" applyBorder="1" applyAlignment="1" applyProtection="1">
      <alignment horizontal="center" vertical="center" wrapText="1"/>
    </xf>
    <xf numFmtId="0" fontId="60" fillId="31" borderId="0" xfId="0" applyNumberFormat="1" applyFont="1" applyFill="1" applyBorder="1" applyAlignment="1" applyProtection="1"/>
    <xf numFmtId="0" fontId="61" fillId="49" borderId="0" xfId="156" applyNumberFormat="1" applyFont="1" applyFill="1" applyProtection="1"/>
    <xf numFmtId="0" fontId="38" fillId="0" borderId="0" xfId="0" applyFont="1" applyProtection="1"/>
    <xf numFmtId="0" fontId="38" fillId="0" borderId="0" xfId="0" applyFont="1" applyAlignment="1" applyProtection="1"/>
    <xf numFmtId="0" fontId="38" fillId="0" borderId="0" xfId="0" applyFont="1" applyFill="1" applyProtection="1"/>
    <xf numFmtId="0" fontId="75" fillId="0" borderId="0" xfId="0" applyFont="1" applyAlignment="1" applyProtection="1">
      <alignment horizontal="center" vertical="center" wrapText="1"/>
    </xf>
    <xf numFmtId="0" fontId="75" fillId="0" borderId="0" xfId="0" applyFont="1" applyFill="1" applyAlignment="1" applyProtection="1">
      <alignment vertical="center" wrapText="1"/>
    </xf>
    <xf numFmtId="0" fontId="75" fillId="0" borderId="0" xfId="0" applyFont="1" applyAlignment="1" applyProtection="1">
      <alignment vertical="center"/>
    </xf>
    <xf numFmtId="0" fontId="75" fillId="0" borderId="0" xfId="0" applyFont="1" applyProtection="1"/>
    <xf numFmtId="0" fontId="75" fillId="0" borderId="0" xfId="0" applyFont="1" applyAlignment="1" applyProtection="1">
      <alignment textRotation="180" wrapText="1"/>
    </xf>
    <xf numFmtId="0" fontId="75" fillId="0" borderId="0" xfId="0" applyFont="1" applyAlignment="1" applyProtection="1">
      <alignment horizontal="left" textRotation="180" wrapText="1"/>
    </xf>
    <xf numFmtId="0" fontId="75" fillId="0" borderId="0" xfId="0" applyFont="1" applyFill="1" applyAlignment="1" applyProtection="1">
      <alignment horizontal="left" textRotation="180" wrapText="1"/>
    </xf>
    <xf numFmtId="0" fontId="75" fillId="0" borderId="0" xfId="0" applyFont="1" applyFill="1" applyAlignment="1" applyProtection="1">
      <alignment textRotation="180" wrapText="1"/>
    </xf>
    <xf numFmtId="0" fontId="75" fillId="0" borderId="0" xfId="0" applyFont="1" applyFill="1" applyBorder="1" applyAlignment="1" applyProtection="1">
      <alignment textRotation="180" wrapText="1"/>
    </xf>
    <xf numFmtId="0" fontId="75" fillId="0" borderId="0" xfId="0" applyFont="1" applyFill="1" applyBorder="1" applyAlignment="1" applyProtection="1">
      <alignment horizontal="left" textRotation="180" wrapText="1"/>
    </xf>
    <xf numFmtId="1" fontId="75" fillId="0" borderId="0" xfId="0" applyNumberFormat="1" applyFont="1" applyFill="1" applyBorder="1" applyAlignment="1" applyProtection="1">
      <alignment textRotation="180" wrapText="1"/>
    </xf>
    <xf numFmtId="0" fontId="75" fillId="0" borderId="0" xfId="0" applyFont="1" applyFill="1" applyBorder="1" applyProtection="1"/>
    <xf numFmtId="0" fontId="75" fillId="57" borderId="0" xfId="0" applyFont="1" applyFill="1" applyBorder="1" applyAlignment="1" applyProtection="1">
      <alignment horizontal="center" wrapText="1"/>
    </xf>
    <xf numFmtId="0" fontId="75" fillId="58" borderId="0" xfId="0" applyFont="1" applyFill="1" applyBorder="1" applyAlignment="1" applyProtection="1">
      <alignment horizontal="center" wrapText="1"/>
    </xf>
    <xf numFmtId="0" fontId="75" fillId="59" borderId="0" xfId="0" applyFont="1" applyFill="1" applyAlignment="1" applyProtection="1">
      <alignment horizontal="center" wrapText="1"/>
    </xf>
    <xf numFmtId="0" fontId="75" fillId="60" borderId="0" xfId="0" applyFont="1" applyFill="1" applyAlignment="1" applyProtection="1">
      <alignment horizontal="center" vertical="center" wrapText="1"/>
    </xf>
    <xf numFmtId="0" fontId="75" fillId="0" borderId="0" xfId="0" applyFont="1" applyAlignment="1" applyProtection="1">
      <alignment vertical="center" wrapText="1"/>
    </xf>
    <xf numFmtId="0" fontId="75" fillId="0" borderId="0" xfId="0" applyFont="1" applyFill="1" applyBorder="1" applyAlignment="1" applyProtection="1">
      <alignment horizontal="center" vertical="center" wrapText="1"/>
    </xf>
    <xf numFmtId="0" fontId="39" fillId="0" borderId="0" xfId="0" applyFont="1" applyAlignment="1" applyProtection="1"/>
    <xf numFmtId="0" fontId="39" fillId="33" borderId="36" xfId="0" applyFont="1" applyFill="1" applyBorder="1" applyAlignment="1" applyProtection="1">
      <alignment horizontal="left" vertical="center"/>
      <protection locked="0"/>
    </xf>
    <xf numFmtId="0" fontId="39" fillId="33" borderId="44" xfId="0" applyFont="1" applyFill="1" applyBorder="1" applyAlignment="1" applyProtection="1">
      <alignment horizontal="left" vertical="center"/>
      <protection locked="0"/>
    </xf>
    <xf numFmtId="0" fontId="75" fillId="0" borderId="0" xfId="0" applyFont="1" applyFill="1" applyAlignment="1" applyProtection="1">
      <alignment horizontal="center" vertical="center" wrapText="1"/>
    </xf>
    <xf numFmtId="0" fontId="39" fillId="0" borderId="0" xfId="134" applyFont="1" applyAlignment="1" applyProtection="1">
      <alignment horizontal="right" indent="1"/>
    </xf>
    <xf numFmtId="14" fontId="39" fillId="44" borderId="36" xfId="0" applyNumberFormat="1" applyFont="1" applyFill="1" applyBorder="1" applyProtection="1"/>
    <xf numFmtId="14" fontId="39" fillId="44" borderId="43" xfId="0" applyNumberFormat="1" applyFont="1" applyFill="1" applyBorder="1" applyProtection="1"/>
    <xf numFmtId="14" fontId="39" fillId="46" borderId="43" xfId="0" applyNumberFormat="1" applyFont="1" applyFill="1" applyBorder="1" applyProtection="1"/>
    <xf numFmtId="14" fontId="39" fillId="46" borderId="12" xfId="0" applyNumberFormat="1" applyFont="1" applyFill="1" applyBorder="1" applyProtection="1"/>
    <xf numFmtId="14" fontId="39" fillId="46" borderId="37" xfId="0" applyNumberFormat="1" applyFont="1" applyFill="1" applyBorder="1" applyProtection="1"/>
    <xf numFmtId="0" fontId="39" fillId="33" borderId="59" xfId="0" applyFont="1" applyFill="1" applyBorder="1" applyAlignment="1" applyProtection="1">
      <alignment horizontal="center" vertical="center"/>
      <protection locked="0"/>
    </xf>
    <xf numFmtId="0" fontId="39" fillId="33" borderId="52" xfId="0" applyFont="1" applyFill="1" applyBorder="1" applyAlignment="1" applyProtection="1">
      <alignment horizontal="center" vertical="center"/>
      <protection locked="0"/>
    </xf>
    <xf numFmtId="0" fontId="39" fillId="33" borderId="58" xfId="0" applyFont="1" applyFill="1" applyBorder="1" applyAlignment="1" applyProtection="1">
      <alignment vertical="center"/>
      <protection locked="0"/>
    </xf>
    <xf numFmtId="0" fontId="39" fillId="33" borderId="37" xfId="0" applyFont="1" applyFill="1" applyBorder="1" applyAlignment="1" applyProtection="1">
      <alignment vertical="center"/>
      <protection locked="0"/>
    </xf>
    <xf numFmtId="0" fontId="39" fillId="33" borderId="59" xfId="0" applyFont="1" applyFill="1" applyBorder="1" applyAlignment="1" applyProtection="1">
      <alignment vertical="center"/>
      <protection locked="0"/>
    </xf>
    <xf numFmtId="0" fontId="39" fillId="33" borderId="36" xfId="0" applyFont="1" applyFill="1" applyBorder="1" applyAlignment="1" applyProtection="1">
      <alignment vertical="center"/>
      <protection locked="0"/>
    </xf>
    <xf numFmtId="0" fontId="39" fillId="33" borderId="52" xfId="0" applyFont="1" applyFill="1" applyBorder="1" applyAlignment="1" applyProtection="1">
      <alignment vertical="center"/>
      <protection locked="0"/>
    </xf>
    <xf numFmtId="0" fontId="39" fillId="33" borderId="44" xfId="0" applyFont="1" applyFill="1" applyBorder="1" applyAlignment="1" applyProtection="1">
      <alignment vertical="center"/>
      <protection locked="0"/>
    </xf>
    <xf numFmtId="0" fontId="39" fillId="33" borderId="36" xfId="0" applyFont="1" applyFill="1" applyBorder="1" applyAlignment="1" applyProtection="1">
      <alignment horizontal="right" vertical="center"/>
      <protection locked="0"/>
    </xf>
    <xf numFmtId="0" fontId="39" fillId="33" borderId="44" xfId="0" applyFont="1" applyFill="1" applyBorder="1" applyAlignment="1" applyProtection="1">
      <alignment horizontal="right" vertical="center"/>
      <protection locked="0"/>
    </xf>
    <xf numFmtId="0" fontId="39" fillId="33" borderId="36" xfId="0" applyFont="1" applyFill="1" applyBorder="1" applyAlignment="1" applyProtection="1">
      <alignment horizontal="right" vertical="center" indent="1"/>
      <protection locked="0"/>
    </xf>
    <xf numFmtId="0" fontId="39" fillId="33" borderId="37" xfId="0" applyFont="1" applyFill="1" applyBorder="1" applyAlignment="1" applyProtection="1">
      <alignment horizontal="right" vertical="center" indent="1"/>
      <protection locked="0"/>
    </xf>
    <xf numFmtId="0" fontId="39" fillId="33" borderId="44" xfId="0" applyFont="1" applyFill="1" applyBorder="1" applyAlignment="1" applyProtection="1">
      <alignment horizontal="right" vertical="center" indent="1"/>
      <protection locked="0"/>
    </xf>
    <xf numFmtId="0" fontId="39" fillId="33" borderId="38" xfId="0" applyFont="1" applyFill="1" applyBorder="1" applyAlignment="1" applyProtection="1">
      <alignment horizontal="right" vertical="center"/>
      <protection locked="0"/>
    </xf>
    <xf numFmtId="0" fontId="39" fillId="33" borderId="41" xfId="0" applyFont="1" applyFill="1" applyBorder="1" applyAlignment="1" applyProtection="1">
      <alignment horizontal="right" vertical="center"/>
      <protection locked="0"/>
    </xf>
    <xf numFmtId="0" fontId="39" fillId="33" borderId="59" xfId="0" applyFont="1" applyFill="1" applyBorder="1" applyAlignment="1" applyProtection="1">
      <alignment horizontal="left" vertical="center"/>
      <protection locked="0"/>
    </xf>
    <xf numFmtId="0" fontId="39" fillId="33" borderId="52" xfId="0" applyFont="1" applyFill="1" applyBorder="1" applyAlignment="1" applyProtection="1">
      <alignment horizontal="left" vertical="center"/>
      <protection locked="0"/>
    </xf>
    <xf numFmtId="170" fontId="41" fillId="0" borderId="43" xfId="0" applyNumberFormat="1" applyFont="1" applyBorder="1" applyAlignment="1" applyProtection="1">
      <alignment horizontal="center" vertical="center" wrapText="1"/>
      <protection locked="0"/>
    </xf>
    <xf numFmtId="170" fontId="41" fillId="0" borderId="43" xfId="0" applyNumberFormat="1" applyFont="1" applyBorder="1" applyAlignment="1" applyProtection="1">
      <alignment horizontal="center" vertical="center"/>
      <protection locked="0"/>
    </xf>
    <xf numFmtId="170" fontId="41" fillId="0" borderId="12" xfId="0" applyNumberFormat="1" applyFont="1" applyFill="1" applyBorder="1" applyAlignment="1" applyProtection="1">
      <alignment horizontal="center" vertical="center"/>
      <protection locked="0"/>
    </xf>
    <xf numFmtId="170" fontId="41" fillId="0" borderId="38" xfId="0" applyNumberFormat="1" applyFont="1" applyFill="1" applyBorder="1" applyAlignment="1" applyProtection="1">
      <alignment horizontal="center" vertical="center"/>
      <protection locked="0"/>
    </xf>
    <xf numFmtId="0" fontId="57" fillId="40" borderId="49" xfId="0" applyFont="1" applyFill="1" applyBorder="1" applyAlignment="1" applyProtection="1">
      <alignment vertical="center" wrapText="1"/>
    </xf>
    <xf numFmtId="0" fontId="49" fillId="33" borderId="0" xfId="0" applyFont="1" applyFill="1" applyAlignment="1" applyProtection="1">
      <alignment horizontal="left" vertical="top"/>
    </xf>
    <xf numFmtId="0" fontId="49" fillId="33" borderId="0" xfId="0" applyFont="1" applyFill="1" applyAlignment="1" applyProtection="1">
      <alignment horizontal="left" vertical="center"/>
    </xf>
    <xf numFmtId="0" fontId="49" fillId="33" borderId="0" xfId="0" applyFont="1" applyFill="1" applyBorder="1" applyAlignment="1" applyProtection="1">
      <alignment horizontal="center" vertical="center"/>
    </xf>
    <xf numFmtId="0" fontId="72" fillId="25" borderId="21" xfId="0" applyFont="1" applyFill="1" applyBorder="1" applyAlignment="1" applyProtection="1">
      <alignment horizontal="center" vertical="center" wrapText="1"/>
    </xf>
    <xf numFmtId="0" fontId="49" fillId="33" borderId="0" xfId="0" applyFont="1" applyFill="1" applyBorder="1" applyAlignment="1" applyProtection="1">
      <alignment horizontal="center" vertical="center"/>
    </xf>
    <xf numFmtId="0" fontId="39" fillId="35" borderId="52" xfId="0" applyFont="1" applyFill="1" applyBorder="1" applyAlignment="1" applyProtection="1">
      <alignment horizontal="center" vertical="center"/>
    </xf>
    <xf numFmtId="0" fontId="39" fillId="35" borderId="69" xfId="0" applyFont="1" applyFill="1" applyBorder="1" applyAlignment="1" applyProtection="1">
      <alignment horizontal="center" vertical="center"/>
    </xf>
    <xf numFmtId="0" fontId="80" fillId="25" borderId="46" xfId="0" applyFont="1" applyFill="1" applyBorder="1" applyAlignment="1" applyProtection="1">
      <alignment vertical="center"/>
    </xf>
    <xf numFmtId="0" fontId="80" fillId="25" borderId="50" xfId="0" applyFont="1" applyFill="1" applyBorder="1" applyAlignment="1" applyProtection="1">
      <alignment vertical="center" wrapText="1"/>
    </xf>
    <xf numFmtId="0" fontId="49" fillId="33" borderId="49" xfId="0" applyFont="1" applyFill="1" applyBorder="1" applyAlignment="1" applyProtection="1">
      <alignment vertical="center" wrapText="1"/>
    </xf>
    <xf numFmtId="0" fontId="80" fillId="25" borderId="46" xfId="0" applyFont="1" applyFill="1" applyBorder="1" applyAlignment="1" applyProtection="1">
      <alignment vertical="center" wrapText="1"/>
    </xf>
    <xf numFmtId="0" fontId="49" fillId="33" borderId="32" xfId="0" applyFont="1" applyFill="1" applyBorder="1" applyAlignment="1" applyProtection="1">
      <alignment horizontal="right" vertical="center"/>
    </xf>
    <xf numFmtId="0" fontId="57" fillId="40" borderId="27" xfId="0" applyFont="1" applyFill="1" applyBorder="1" applyAlignment="1" applyProtection="1">
      <alignment vertical="center"/>
    </xf>
    <xf numFmtId="0" fontId="49" fillId="33" borderId="49" xfId="0" applyFont="1" applyFill="1" applyBorder="1" applyAlignment="1" applyProtection="1">
      <alignment horizontal="center" vertical="center"/>
    </xf>
    <xf numFmtId="0" fontId="49" fillId="33" borderId="0" xfId="0" applyFont="1" applyFill="1" applyBorder="1" applyAlignment="1" applyProtection="1">
      <alignment horizontal="center" vertical="center"/>
    </xf>
    <xf numFmtId="0" fontId="49" fillId="33" borderId="23" xfId="0" applyFont="1" applyFill="1" applyBorder="1" applyAlignment="1" applyProtection="1">
      <alignment horizontal="center" vertical="center"/>
    </xf>
    <xf numFmtId="0" fontId="49" fillId="33" borderId="0" xfId="0" applyFont="1" applyFill="1" applyAlignment="1">
      <alignment horizontal="center" vertical="center"/>
    </xf>
    <xf numFmtId="0" fontId="49" fillId="40" borderId="0" xfId="0" applyFont="1" applyFill="1" applyBorder="1" applyAlignment="1" applyProtection="1">
      <alignment horizontal="center" vertical="center"/>
    </xf>
    <xf numFmtId="0" fontId="49" fillId="33" borderId="0" xfId="0" applyFont="1" applyFill="1" applyBorder="1" applyAlignment="1" applyProtection="1">
      <alignment horizontal="center" vertical="center" wrapText="1"/>
    </xf>
    <xf numFmtId="0" fontId="80" fillId="25" borderId="46" xfId="0" applyFont="1" applyFill="1" applyBorder="1" applyAlignment="1" applyProtection="1">
      <alignment horizontal="center" vertical="center"/>
    </xf>
    <xf numFmtId="0" fontId="49" fillId="33" borderId="60" xfId="0" applyFont="1" applyFill="1" applyBorder="1" applyAlignment="1" applyProtection="1">
      <alignment horizontal="center" vertical="center"/>
    </xf>
    <xf numFmtId="0" fontId="57" fillId="33" borderId="49" xfId="0" applyFont="1" applyFill="1" applyBorder="1" applyAlignment="1" applyProtection="1">
      <alignment vertical="center" wrapText="1"/>
    </xf>
    <xf numFmtId="0" fontId="80" fillId="25" borderId="47" xfId="0" applyFont="1" applyFill="1" applyBorder="1" applyAlignment="1" applyProtection="1">
      <alignment vertical="center"/>
    </xf>
    <xf numFmtId="0" fontId="80" fillId="25" borderId="32" xfId="0" applyFont="1" applyFill="1" applyBorder="1" applyAlignment="1" applyProtection="1">
      <alignment horizontal="center" vertical="center"/>
    </xf>
    <xf numFmtId="0" fontId="49" fillId="33" borderId="66" xfId="0" applyFont="1" applyFill="1" applyBorder="1" applyAlignment="1" applyProtection="1">
      <alignment horizontal="center" vertical="center"/>
    </xf>
    <xf numFmtId="0" fontId="49" fillId="33" borderId="42" xfId="0" applyFont="1" applyFill="1" applyBorder="1" applyAlignment="1" applyProtection="1">
      <alignment horizontal="center" vertical="center"/>
    </xf>
    <xf numFmtId="0" fontId="39" fillId="33" borderId="32" xfId="0" applyFont="1" applyFill="1" applyBorder="1" applyAlignment="1" applyProtection="1"/>
    <xf numFmtId="0" fontId="39" fillId="33" borderId="32" xfId="0" applyFont="1" applyFill="1" applyBorder="1" applyProtection="1"/>
    <xf numFmtId="0" fontId="49" fillId="43" borderId="12" xfId="0" applyFont="1" applyFill="1" applyBorder="1" applyAlignment="1" applyProtection="1">
      <alignment horizontal="center" vertical="center"/>
    </xf>
    <xf numFmtId="0" fontId="39" fillId="0" borderId="0" xfId="0" applyFont="1" applyBorder="1" applyAlignment="1" applyProtection="1">
      <alignment horizontal="center" vertical="center"/>
    </xf>
    <xf numFmtId="0" fontId="80" fillId="25" borderId="27" xfId="0" applyFont="1" applyFill="1" applyBorder="1" applyAlignment="1" applyProtection="1">
      <alignment horizontal="center" vertical="center"/>
    </xf>
    <xf numFmtId="168" fontId="49" fillId="40" borderId="0" xfId="0" applyNumberFormat="1" applyFont="1" applyFill="1" applyBorder="1" applyAlignment="1" applyProtection="1">
      <alignment horizontal="center" vertical="center"/>
    </xf>
    <xf numFmtId="0" fontId="49" fillId="40" borderId="0" xfId="0" applyNumberFormat="1" applyFont="1" applyFill="1" applyBorder="1" applyAlignment="1" applyProtection="1">
      <alignment horizontal="center" vertical="center"/>
    </xf>
    <xf numFmtId="0" fontId="49" fillId="40" borderId="15" xfId="0" applyFont="1" applyFill="1" applyBorder="1" applyAlignment="1" applyProtection="1">
      <alignment horizontal="center" vertical="center"/>
    </xf>
    <xf numFmtId="0" fontId="49" fillId="40" borderId="23" xfId="0" applyFont="1" applyFill="1" applyBorder="1" applyAlignment="1" applyProtection="1">
      <alignment horizontal="center" vertical="center"/>
    </xf>
    <xf numFmtId="0" fontId="49" fillId="33" borderId="23" xfId="0" applyFont="1" applyFill="1" applyBorder="1" applyAlignment="1" applyProtection="1">
      <alignment horizontal="center" vertical="center" wrapText="1"/>
    </xf>
    <xf numFmtId="0" fontId="49" fillId="33" borderId="28" xfId="0" applyFont="1" applyFill="1" applyBorder="1" applyAlignment="1" applyProtection="1">
      <alignment horizontal="center" vertical="center"/>
    </xf>
    <xf numFmtId="0" fontId="91" fillId="40" borderId="0" xfId="0" applyFont="1" applyFill="1" applyBorder="1" applyAlignment="1" applyProtection="1">
      <alignment horizontal="center" vertical="center"/>
    </xf>
    <xf numFmtId="0" fontId="81" fillId="45" borderId="20" xfId="0" applyFont="1" applyFill="1" applyBorder="1" applyAlignment="1" applyProtection="1">
      <alignment horizontal="center" vertical="center"/>
    </xf>
    <xf numFmtId="0" fontId="49" fillId="33" borderId="19" xfId="0" applyFont="1" applyFill="1" applyBorder="1" applyAlignment="1" applyProtection="1">
      <alignment horizontal="center" vertical="center" wrapText="1"/>
    </xf>
    <xf numFmtId="0" fontId="39" fillId="0" borderId="27" xfId="0" applyFont="1" applyBorder="1" applyProtection="1"/>
    <xf numFmtId="0" fontId="39" fillId="0" borderId="31" xfId="0" applyFont="1" applyBorder="1" applyProtection="1"/>
    <xf numFmtId="0" fontId="39" fillId="0" borderId="0" xfId="0" applyFont="1" applyAlignment="1" applyProtection="1">
      <alignment horizontal="center" vertical="center"/>
    </xf>
    <xf numFmtId="0" fontId="49" fillId="64" borderId="15" xfId="0" applyFont="1" applyFill="1" applyBorder="1" applyAlignment="1" applyProtection="1">
      <alignment horizontal="center" vertical="center" wrapText="1"/>
    </xf>
    <xf numFmtId="0" fontId="49" fillId="64" borderId="17" xfId="0" applyFont="1" applyFill="1" applyBorder="1" applyAlignment="1" applyProtection="1">
      <alignment horizontal="center" vertical="center" wrapText="1"/>
    </xf>
    <xf numFmtId="0" fontId="41" fillId="0" borderId="11" xfId="0" applyFont="1" applyBorder="1" applyAlignment="1" applyProtection="1">
      <alignment horizontal="center" vertical="center"/>
      <protection locked="0"/>
    </xf>
    <xf numFmtId="0" fontId="41" fillId="0" borderId="36" xfId="0" applyFont="1" applyFill="1" applyBorder="1" applyAlignment="1" applyProtection="1">
      <alignment horizontal="center" vertical="center"/>
      <protection locked="0"/>
    </xf>
    <xf numFmtId="0" fontId="49" fillId="33" borderId="0" xfId="0" applyFont="1" applyFill="1" applyAlignment="1" applyProtection="1">
      <alignment horizontal="left" vertical="top"/>
    </xf>
    <xf numFmtId="0" fontId="47" fillId="33" borderId="0" xfId="0" applyFont="1" applyFill="1" applyAlignment="1">
      <alignment vertical="top" wrapText="1"/>
    </xf>
    <xf numFmtId="0" fontId="49" fillId="33" borderId="60" xfId="0" applyFont="1" applyFill="1" applyBorder="1" applyAlignment="1" applyProtection="1">
      <alignment horizontal="center" vertical="center" wrapText="1"/>
    </xf>
    <xf numFmtId="0" fontId="49" fillId="33" borderId="13" xfId="0" applyFont="1" applyFill="1" applyBorder="1" applyAlignment="1" applyProtection="1">
      <alignment horizontal="center" vertical="center" wrapText="1"/>
    </xf>
    <xf numFmtId="0" fontId="43" fillId="0" borderId="0" xfId="0" applyFont="1" applyProtection="1"/>
    <xf numFmtId="0" fontId="39" fillId="33" borderId="0" xfId="0" applyFont="1" applyFill="1" applyAlignment="1">
      <alignment vertical="top"/>
    </xf>
    <xf numFmtId="0" fontId="39" fillId="33" borderId="36" xfId="0" applyFont="1" applyFill="1" applyBorder="1" applyAlignment="1">
      <alignment horizontal="right" vertical="center" wrapText="1" indent="1"/>
    </xf>
    <xf numFmtId="0" fontId="39" fillId="33" borderId="37" xfId="0" applyFont="1" applyFill="1" applyBorder="1" applyAlignment="1">
      <alignment horizontal="right" vertical="center" wrapText="1" indent="1"/>
    </xf>
    <xf numFmtId="0" fontId="39" fillId="33" borderId="36" xfId="0" applyFont="1" applyFill="1" applyBorder="1" applyAlignment="1">
      <alignment horizontal="right" vertical="center" wrapText="1" indent="1"/>
    </xf>
    <xf numFmtId="0" fontId="48" fillId="0" borderId="36" xfId="134" applyFont="1" applyBorder="1" applyAlignment="1" applyProtection="1">
      <alignment horizontal="right" vertical="center" indent="1"/>
    </xf>
    <xf numFmtId="0" fontId="41" fillId="33" borderId="61" xfId="0" applyFont="1" applyFill="1" applyBorder="1" applyAlignment="1" applyProtection="1">
      <alignment horizontal="center" vertical="center"/>
    </xf>
    <xf numFmtId="0" fontId="41" fillId="33" borderId="0" xfId="0" applyFont="1" applyFill="1" applyAlignment="1" applyProtection="1">
      <alignment wrapText="1"/>
    </xf>
    <xf numFmtId="0" fontId="0" fillId="0" borderId="0" xfId="0" applyNumberFormat="1"/>
    <xf numFmtId="14" fontId="0" fillId="0" borderId="0" xfId="0" applyNumberFormat="1"/>
    <xf numFmtId="0" fontId="39" fillId="30" borderId="22" xfId="0" applyFont="1" applyFill="1" applyBorder="1" applyAlignment="1">
      <alignment horizontal="right" wrapText="1"/>
    </xf>
    <xf numFmtId="0" fontId="39" fillId="0" borderId="22" xfId="0" applyFont="1" applyBorder="1" applyAlignment="1">
      <alignment horizontal="right" wrapText="1"/>
    </xf>
    <xf numFmtId="0" fontId="39" fillId="0" borderId="15" xfId="0" applyFont="1" applyBorder="1" applyAlignment="1">
      <alignment horizontal="left" vertical="center" wrapText="1"/>
    </xf>
    <xf numFmtId="0" fontId="39" fillId="0" borderId="0" xfId="0" applyFont="1" applyBorder="1" applyAlignment="1">
      <alignment horizontal="left" vertical="center" wrapText="1"/>
    </xf>
    <xf numFmtId="0" fontId="39" fillId="0" borderId="23" xfId="0" applyFont="1" applyBorder="1" applyAlignment="1">
      <alignment horizontal="left" vertical="center" wrapText="1" indent="1"/>
    </xf>
    <xf numFmtId="0" fontId="39" fillId="0" borderId="23" xfId="0" applyFont="1" applyFill="1" applyBorder="1" applyAlignment="1">
      <alignment horizontal="left" vertical="center" wrapText="1" indent="1"/>
    </xf>
    <xf numFmtId="0" fontId="39" fillId="0" borderId="22" xfId="0" applyFont="1" applyBorder="1" applyAlignment="1">
      <alignment horizontal="right"/>
    </xf>
    <xf numFmtId="0" fontId="39" fillId="0" borderId="15" xfId="0" applyFont="1" applyBorder="1" applyAlignment="1">
      <alignment horizontal="left" vertical="center"/>
    </xf>
    <xf numFmtId="0" fontId="39" fillId="0" borderId="23" xfId="0" applyFont="1" applyBorder="1" applyAlignment="1">
      <alignment horizontal="left" vertical="center" indent="1"/>
    </xf>
    <xf numFmtId="0" fontId="41" fillId="30" borderId="65" xfId="0" applyFont="1" applyFill="1" applyBorder="1" applyAlignment="1">
      <alignment horizontal="center" vertical="center"/>
    </xf>
    <xf numFmtId="0" fontId="39" fillId="0" borderId="55" xfId="0" applyFont="1" applyBorder="1" applyAlignment="1">
      <alignment horizontal="center" vertical="center"/>
    </xf>
    <xf numFmtId="0" fontId="39" fillId="0" borderId="0" xfId="0" applyFont="1" applyAlignment="1">
      <alignment horizontal="left" vertical="center" wrapText="1"/>
    </xf>
    <xf numFmtId="0" fontId="39" fillId="29" borderId="22" xfId="0" applyFont="1" applyFill="1" applyBorder="1" applyAlignment="1">
      <alignment horizontal="right" wrapText="1"/>
    </xf>
    <xf numFmtId="0" fontId="39" fillId="28" borderId="22" xfId="0" applyFont="1" applyFill="1" applyBorder="1" applyAlignment="1">
      <alignment horizontal="right" wrapText="1"/>
    </xf>
    <xf numFmtId="0" fontId="39" fillId="0" borderId="13" xfId="0" applyFont="1" applyBorder="1" applyAlignment="1">
      <alignment horizontal="left" vertical="center" wrapText="1"/>
    </xf>
    <xf numFmtId="0" fontId="41" fillId="28" borderId="65" xfId="0" applyFont="1" applyFill="1" applyBorder="1" applyAlignment="1">
      <alignment horizontal="center" vertical="center"/>
    </xf>
    <xf numFmtId="0" fontId="41" fillId="29" borderId="65" xfId="0" applyFont="1" applyFill="1" applyBorder="1" applyAlignment="1">
      <alignment horizontal="center"/>
    </xf>
    <xf numFmtId="0" fontId="41" fillId="29" borderId="55" xfId="0" applyFont="1" applyFill="1" applyBorder="1" applyAlignment="1">
      <alignment horizontal="center"/>
    </xf>
    <xf numFmtId="0" fontId="39" fillId="0" borderId="12" xfId="0" applyFont="1" applyBorder="1" applyAlignment="1">
      <alignment horizontal="left" vertical="center" wrapText="1"/>
    </xf>
    <xf numFmtId="0" fontId="39" fillId="26" borderId="22" xfId="0" applyFont="1" applyFill="1" applyBorder="1" applyAlignment="1">
      <alignment horizontal="right" wrapText="1"/>
    </xf>
    <xf numFmtId="0" fontId="39" fillId="27" borderId="22" xfId="0" applyFont="1" applyFill="1" applyBorder="1" applyAlignment="1">
      <alignment horizontal="right" wrapText="1"/>
    </xf>
    <xf numFmtId="0" fontId="39" fillId="27" borderId="26" xfId="0" applyFont="1" applyFill="1" applyBorder="1" applyAlignment="1">
      <alignment horizontal="right" wrapText="1"/>
    </xf>
    <xf numFmtId="0" fontId="39" fillId="0" borderId="27" xfId="0" applyFont="1" applyBorder="1" applyAlignment="1">
      <alignment horizontal="left" vertical="center" wrapText="1"/>
    </xf>
    <xf numFmtId="0" fontId="39" fillId="0" borderId="28" xfId="0" applyFont="1" applyBorder="1" applyAlignment="1">
      <alignment horizontal="left" vertical="center" wrapText="1" indent="1"/>
    </xf>
    <xf numFmtId="0" fontId="41" fillId="26" borderId="65" xfId="0" applyFont="1" applyFill="1" applyBorder="1" applyAlignment="1">
      <alignment horizontal="center"/>
    </xf>
    <xf numFmtId="0" fontId="39" fillId="0" borderId="55" xfId="0" applyFont="1" applyBorder="1" applyAlignment="1">
      <alignment horizontal="center"/>
    </xf>
    <xf numFmtId="0" fontId="41" fillId="27" borderId="65" xfId="0" applyFont="1" applyFill="1" applyBorder="1" applyAlignment="1">
      <alignment horizontal="center"/>
    </xf>
    <xf numFmtId="0" fontId="41" fillId="27" borderId="55" xfId="0" applyFont="1" applyFill="1" applyBorder="1" applyAlignment="1">
      <alignment horizontal="center"/>
    </xf>
    <xf numFmtId="0" fontId="39" fillId="27" borderId="22" xfId="0" applyFont="1" applyFill="1" applyBorder="1" applyAlignment="1">
      <alignment horizontal="right"/>
    </xf>
    <xf numFmtId="0" fontId="39" fillId="0" borderId="12" xfId="0" applyFont="1" applyBorder="1" applyAlignment="1">
      <alignment horizontal="left" vertical="center"/>
    </xf>
    <xf numFmtId="0" fontId="39" fillId="24" borderId="22" xfId="0" applyFont="1" applyFill="1" applyBorder="1" applyAlignment="1">
      <alignment horizontal="right" wrapText="1"/>
    </xf>
    <xf numFmtId="0" fontId="41" fillId="24" borderId="65" xfId="0" applyFont="1" applyFill="1" applyBorder="1" applyAlignment="1">
      <alignment horizontal="center"/>
    </xf>
    <xf numFmtId="0" fontId="39" fillId="24" borderId="55" xfId="0" applyFont="1" applyFill="1" applyBorder="1" applyAlignment="1">
      <alignment horizontal="center"/>
    </xf>
    <xf numFmtId="0" fontId="39" fillId="24" borderId="21" xfId="0" applyFont="1" applyFill="1" applyBorder="1" applyAlignment="1">
      <alignment horizontal="center"/>
    </xf>
    <xf numFmtId="0" fontId="40" fillId="0" borderId="0" xfId="0" applyFont="1" applyAlignment="1" applyProtection="1">
      <alignment horizontal="center" vertical="center" wrapText="1"/>
    </xf>
    <xf numFmtId="0" fontId="41" fillId="39" borderId="48" xfId="0" applyFont="1" applyFill="1" applyBorder="1" applyAlignment="1" applyProtection="1">
      <alignment horizontal="center"/>
    </xf>
    <xf numFmtId="0" fontId="41" fillId="39" borderId="49" xfId="0" applyFont="1" applyFill="1" applyBorder="1" applyAlignment="1" applyProtection="1">
      <alignment horizontal="center"/>
    </xf>
    <xf numFmtId="0" fontId="41" fillId="39" borderId="72" xfId="0" applyFont="1" applyFill="1" applyBorder="1" applyAlignment="1" applyProtection="1">
      <alignment horizontal="center"/>
    </xf>
    <xf numFmtId="0" fontId="42" fillId="0" borderId="0" xfId="0" applyFont="1" applyFill="1" applyAlignment="1">
      <alignment horizontal="center" wrapText="1"/>
    </xf>
    <xf numFmtId="0" fontId="41" fillId="0" borderId="0" xfId="0" applyFont="1" applyFill="1" applyAlignment="1">
      <alignment horizontal="left" wrapText="1"/>
    </xf>
    <xf numFmtId="0" fontId="65" fillId="33" borderId="0" xfId="0" applyFont="1" applyFill="1" applyAlignment="1" applyProtection="1">
      <alignment horizontal="center" vertical="center" wrapText="1"/>
    </xf>
    <xf numFmtId="0" fontId="66" fillId="33" borderId="0" xfId="0" applyFont="1" applyFill="1" applyAlignment="1" applyProtection="1">
      <alignment horizontal="center" vertical="center" wrapText="1"/>
    </xf>
    <xf numFmtId="0" fontId="39" fillId="0" borderId="0" xfId="0" applyFont="1" applyAlignment="1">
      <alignment vertical="top" wrapText="1"/>
    </xf>
    <xf numFmtId="0" fontId="48" fillId="33" borderId="0" xfId="134" applyFont="1" applyFill="1" applyAlignment="1" applyProtection="1">
      <alignment horizontal="left" vertical="top"/>
    </xf>
    <xf numFmtId="0" fontId="49" fillId="33" borderId="0" xfId="0" applyFont="1" applyFill="1" applyAlignment="1" applyProtection="1">
      <alignment horizontal="right"/>
    </xf>
    <xf numFmtId="0" fontId="48" fillId="0" borderId="0" xfId="134" applyFont="1" applyAlignment="1" applyProtection="1">
      <alignment horizontal="center"/>
    </xf>
    <xf numFmtId="0" fontId="47" fillId="33" borderId="0" xfId="0" applyFont="1" applyFill="1" applyAlignment="1">
      <alignment vertical="top" wrapText="1"/>
    </xf>
    <xf numFmtId="0" fontId="39" fillId="33" borderId="0" xfId="0" applyFont="1" applyFill="1" applyAlignment="1" applyProtection="1">
      <alignment vertical="top" wrapText="1"/>
    </xf>
    <xf numFmtId="0" fontId="39" fillId="33" borderId="0" xfId="0" applyFont="1" applyFill="1" applyAlignment="1" applyProtection="1">
      <alignment horizontal="left" vertical="top" wrapText="1"/>
    </xf>
    <xf numFmtId="0" fontId="48" fillId="40" borderId="0" xfId="134" applyFont="1" applyFill="1" applyBorder="1" applyAlignment="1" applyProtection="1">
      <alignment horizontal="left" vertical="top" wrapText="1"/>
    </xf>
    <xf numFmtId="0" fontId="39" fillId="40" borderId="0" xfId="134" applyFont="1" applyFill="1" applyAlignment="1" applyProtection="1">
      <alignment horizontal="left" vertical="top" wrapText="1"/>
    </xf>
    <xf numFmtId="0" fontId="48" fillId="40" borderId="0" xfId="134" applyFont="1" applyFill="1" applyAlignment="1" applyProtection="1">
      <alignment horizontal="left" vertical="top" wrapText="1"/>
    </xf>
    <xf numFmtId="0" fontId="39" fillId="33" borderId="0" xfId="0" applyFont="1" applyFill="1" applyBorder="1" applyAlignment="1">
      <alignment horizontal="right" vertical="center" wrapText="1" indent="1"/>
    </xf>
    <xf numFmtId="0" fontId="39" fillId="33" borderId="16" xfId="0" applyFont="1" applyFill="1" applyBorder="1" applyAlignment="1">
      <alignment horizontal="right" vertical="center" wrapText="1" indent="1"/>
    </xf>
    <xf numFmtId="5" fontId="48" fillId="0" borderId="0" xfId="134" applyNumberFormat="1" applyFont="1" applyFill="1" applyBorder="1" applyAlignment="1" applyProtection="1">
      <alignment horizontal="left" vertical="center"/>
      <protection hidden="1"/>
    </xf>
    <xf numFmtId="0" fontId="48" fillId="0" borderId="0" xfId="134" applyFont="1" applyAlignment="1" applyProtection="1">
      <alignment horizontal="left" vertical="center"/>
    </xf>
    <xf numFmtId="0" fontId="51" fillId="32" borderId="60" xfId="0" applyFont="1" applyFill="1" applyBorder="1" applyAlignment="1">
      <alignment horizontal="left" vertical="center" wrapText="1"/>
    </xf>
    <xf numFmtId="0" fontId="51" fillId="32" borderId="19" xfId="0" applyFont="1" applyFill="1" applyBorder="1" applyAlignment="1">
      <alignment horizontal="left" vertical="center" wrapText="1"/>
    </xf>
    <xf numFmtId="0" fontId="51" fillId="32" borderId="54" xfId="0" applyFont="1" applyFill="1" applyBorder="1" applyAlignment="1">
      <alignment horizontal="left" vertical="center" wrapText="1"/>
    </xf>
    <xf numFmtId="0" fontId="39" fillId="33" borderId="66" xfId="0" applyFont="1" applyFill="1" applyBorder="1" applyAlignment="1">
      <alignment horizontal="right" vertical="center" wrapText="1" indent="1"/>
    </xf>
    <xf numFmtId="0" fontId="39" fillId="33" borderId="13" xfId="0" applyFont="1" applyFill="1" applyBorder="1" applyAlignment="1">
      <alignment horizontal="right" vertical="center" wrapText="1" indent="1"/>
    </xf>
    <xf numFmtId="0" fontId="39" fillId="33" borderId="14" xfId="0" applyFont="1" applyFill="1" applyBorder="1" applyAlignment="1">
      <alignment horizontal="right" vertical="center" wrapText="1" indent="1"/>
    </xf>
    <xf numFmtId="0" fontId="41" fillId="33" borderId="37" xfId="0" applyFont="1" applyFill="1" applyBorder="1" applyAlignment="1" applyProtection="1">
      <alignment horizontal="left" vertical="center" wrapText="1"/>
      <protection locked="0"/>
    </xf>
    <xf numFmtId="0" fontId="39" fillId="33" borderId="42" xfId="0" applyFont="1" applyFill="1" applyBorder="1" applyAlignment="1">
      <alignment horizontal="right" vertical="center" wrapText="1" indent="1"/>
    </xf>
    <xf numFmtId="0" fontId="39" fillId="33" borderId="18" xfId="0" applyFont="1" applyFill="1" applyBorder="1" applyAlignment="1">
      <alignment horizontal="right" vertical="center" wrapText="1" indent="1"/>
    </xf>
    <xf numFmtId="0" fontId="39" fillId="33" borderId="20" xfId="0" applyFont="1" applyFill="1" applyBorder="1" applyAlignment="1">
      <alignment horizontal="right" vertical="center" wrapText="1" indent="1"/>
    </xf>
    <xf numFmtId="0" fontId="41" fillId="33" borderId="43" xfId="0" applyFont="1" applyFill="1" applyBorder="1" applyAlignment="1" applyProtection="1">
      <alignment horizontal="left" vertical="center" wrapText="1"/>
      <protection locked="0"/>
    </xf>
    <xf numFmtId="0" fontId="39" fillId="33" borderId="32" xfId="0" applyFont="1" applyFill="1" applyBorder="1" applyAlignment="1">
      <alignment horizontal="right" vertical="center" wrapText="1" indent="1"/>
    </xf>
    <xf numFmtId="169" fontId="41" fillId="33" borderId="36" xfId="0" applyNumberFormat="1" applyFont="1" applyFill="1" applyBorder="1" applyAlignment="1" applyProtection="1">
      <alignment horizontal="left" vertical="center" wrapText="1"/>
      <protection locked="0"/>
    </xf>
    <xf numFmtId="169" fontId="41" fillId="33" borderId="36" xfId="0" applyNumberFormat="1" applyFont="1" applyFill="1" applyBorder="1" applyAlignment="1" applyProtection="1">
      <alignment vertical="center" wrapText="1"/>
      <protection locked="0"/>
    </xf>
    <xf numFmtId="169" fontId="41" fillId="33" borderId="38" xfId="0" applyNumberFormat="1" applyFont="1" applyFill="1" applyBorder="1" applyAlignment="1" applyProtection="1">
      <alignment vertical="center" wrapText="1"/>
      <protection locked="0"/>
    </xf>
    <xf numFmtId="0" fontId="48" fillId="33" borderId="36" xfId="134" applyFont="1" applyFill="1" applyBorder="1" applyAlignment="1" applyProtection="1">
      <alignment horizontal="left" vertical="center" wrapText="1"/>
      <protection locked="0"/>
    </xf>
    <xf numFmtId="0" fontId="41" fillId="33" borderId="36" xfId="0" applyFont="1" applyFill="1" applyBorder="1" applyAlignment="1" applyProtection="1">
      <alignment horizontal="left" vertical="center" wrapText="1"/>
      <protection locked="0"/>
    </xf>
    <xf numFmtId="0" fontId="39" fillId="33" borderId="38" xfId="0" applyFont="1" applyFill="1" applyBorder="1" applyAlignment="1" applyProtection="1">
      <alignment horizontal="left" vertical="center" wrapText="1"/>
      <protection locked="0"/>
    </xf>
    <xf numFmtId="0" fontId="49" fillId="0" borderId="32" xfId="134" applyFont="1" applyFill="1" applyBorder="1" applyAlignment="1" applyProtection="1">
      <alignment horizontal="center" vertical="center"/>
    </xf>
    <xf numFmtId="0" fontId="49" fillId="0" borderId="0" xfId="134" applyFont="1" applyFill="1" applyBorder="1" applyAlignment="1" applyProtection="1">
      <alignment horizontal="center" vertical="center"/>
    </xf>
    <xf numFmtId="0" fontId="64" fillId="61" borderId="66" xfId="0" applyFont="1" applyFill="1" applyBorder="1" applyAlignment="1">
      <alignment horizontal="left" vertical="center" wrapText="1"/>
    </xf>
    <xf numFmtId="0" fontId="64" fillId="61" borderId="13" xfId="0" applyFont="1" applyFill="1" applyBorder="1" applyAlignment="1">
      <alignment horizontal="left" vertical="center" wrapText="1"/>
    </xf>
    <xf numFmtId="0" fontId="64" fillId="61" borderId="25" xfId="0" applyFont="1" applyFill="1" applyBorder="1" applyAlignment="1">
      <alignment horizontal="left" vertical="center" wrapText="1"/>
    </xf>
    <xf numFmtId="0" fontId="64" fillId="61" borderId="42" xfId="0" applyFont="1" applyFill="1" applyBorder="1" applyAlignment="1">
      <alignment horizontal="left" vertical="center" wrapText="1"/>
    </xf>
    <xf numFmtId="0" fontId="64" fillId="61" borderId="18" xfId="0" applyFont="1" applyFill="1" applyBorder="1" applyAlignment="1">
      <alignment horizontal="left" vertical="center" wrapText="1"/>
    </xf>
    <xf numFmtId="0" fontId="64" fillId="61" borderId="56" xfId="0" applyFont="1" applyFill="1" applyBorder="1" applyAlignment="1">
      <alignment horizontal="left" vertical="center" wrapText="1"/>
    </xf>
    <xf numFmtId="0" fontId="49" fillId="40" borderId="0" xfId="0" applyFont="1" applyFill="1" applyAlignment="1">
      <alignment horizontal="center"/>
    </xf>
    <xf numFmtId="0" fontId="49" fillId="0" borderId="32" xfId="0" applyFont="1" applyBorder="1" applyAlignment="1">
      <alignment horizontal="center" vertical="center"/>
    </xf>
    <xf numFmtId="0" fontId="49" fillId="0" borderId="0" xfId="0" applyFont="1" applyBorder="1" applyAlignment="1">
      <alignment horizontal="center" vertical="center"/>
    </xf>
    <xf numFmtId="0" fontId="41" fillId="33" borderId="37" xfId="0" applyFont="1" applyFill="1" applyBorder="1" applyAlignment="1" applyProtection="1">
      <alignment vertical="center" wrapText="1"/>
      <protection locked="0"/>
    </xf>
    <xf numFmtId="0" fontId="41" fillId="33" borderId="39" xfId="0" applyFont="1" applyFill="1" applyBorder="1" applyAlignment="1" applyProtection="1">
      <alignment vertical="center" wrapText="1"/>
      <protection locked="0"/>
    </xf>
    <xf numFmtId="0" fontId="48" fillId="33" borderId="0" xfId="134" applyFont="1" applyFill="1" applyAlignment="1" applyProtection="1">
      <alignment wrapText="1"/>
    </xf>
    <xf numFmtId="0" fontId="39" fillId="33" borderId="0" xfId="0" applyFont="1" applyFill="1" applyAlignment="1"/>
    <xf numFmtId="169" fontId="41" fillId="0" borderId="43" xfId="0" applyNumberFormat="1" applyFont="1" applyBorder="1" applyAlignment="1" applyProtection="1">
      <alignment horizontal="left" vertical="center" wrapText="1"/>
      <protection locked="0"/>
    </xf>
    <xf numFmtId="0" fontId="49" fillId="33" borderId="32" xfId="0" applyFont="1" applyFill="1" applyBorder="1" applyAlignment="1">
      <alignment horizontal="center" vertical="center" wrapText="1"/>
    </xf>
    <xf numFmtId="0" fontId="49" fillId="33" borderId="0" xfId="0" applyFont="1" applyFill="1" applyBorder="1" applyAlignment="1">
      <alignment horizontal="center" vertical="center" wrapText="1"/>
    </xf>
    <xf numFmtId="5" fontId="77" fillId="33" borderId="49" xfId="0" applyNumberFormat="1" applyFont="1" applyFill="1" applyBorder="1" applyAlignment="1" applyProtection="1">
      <alignment horizontal="center" vertical="center" wrapText="1"/>
      <protection hidden="1"/>
    </xf>
    <xf numFmtId="5" fontId="78" fillId="33" borderId="49" xfId="0" applyNumberFormat="1" applyFont="1" applyFill="1" applyBorder="1" applyAlignment="1" applyProtection="1">
      <alignment horizontal="center" vertical="center" wrapText="1"/>
      <protection hidden="1"/>
    </xf>
    <xf numFmtId="0" fontId="41" fillId="33" borderId="27" xfId="0" applyFont="1" applyFill="1" applyBorder="1" applyAlignment="1">
      <alignment horizontal="left" vertical="center"/>
    </xf>
    <xf numFmtId="0" fontId="77" fillId="0" borderId="32" xfId="0" applyFont="1" applyFill="1" applyBorder="1" applyAlignment="1">
      <alignment horizontal="center" vertical="center"/>
    </xf>
    <xf numFmtId="0" fontId="77" fillId="0" borderId="0" xfId="0" applyFont="1" applyFill="1" applyAlignment="1">
      <alignment horizontal="center" vertical="center"/>
    </xf>
    <xf numFmtId="0" fontId="42" fillId="0" borderId="0" xfId="0" applyFont="1" applyBorder="1" applyAlignment="1">
      <alignment horizontal="left" vertical="center" wrapText="1"/>
    </xf>
    <xf numFmtId="0" fontId="51" fillId="25" borderId="12" xfId="0" applyFont="1" applyFill="1" applyBorder="1" applyAlignment="1" applyProtection="1">
      <alignment horizontal="center" vertical="center" wrapText="1"/>
    </xf>
    <xf numFmtId="0" fontId="51" fillId="25" borderId="13" xfId="0" applyFont="1" applyFill="1" applyBorder="1" applyAlignment="1" applyProtection="1">
      <alignment horizontal="center" vertical="center" wrapText="1"/>
    </xf>
    <xf numFmtId="0" fontId="51" fillId="25" borderId="14" xfId="0" applyFont="1" applyFill="1" applyBorder="1" applyAlignment="1" applyProtection="1">
      <alignment horizontal="center" vertical="center" wrapText="1"/>
    </xf>
    <xf numFmtId="0" fontId="51" fillId="25" borderId="17" xfId="0" applyFont="1" applyFill="1" applyBorder="1" applyAlignment="1" applyProtection="1">
      <alignment horizontal="center" vertical="center" wrapText="1"/>
    </xf>
    <xf numFmtId="0" fontId="51" fillId="25" borderId="18" xfId="0" applyFont="1" applyFill="1" applyBorder="1" applyAlignment="1" applyProtection="1">
      <alignment horizontal="center" vertical="center" wrapText="1"/>
    </xf>
    <xf numFmtId="0" fontId="51" fillId="25" borderId="20" xfId="0" applyFont="1" applyFill="1" applyBorder="1" applyAlignment="1" applyProtection="1">
      <alignment horizontal="center" vertical="center" wrapText="1"/>
    </xf>
    <xf numFmtId="0" fontId="42" fillId="33" borderId="0" xfId="0" applyFont="1" applyFill="1" applyBorder="1" applyAlignment="1" applyProtection="1">
      <alignment horizontal="center" vertical="center"/>
      <protection hidden="1"/>
    </xf>
    <xf numFmtId="0" fontId="49" fillId="33" borderId="0" xfId="0" applyFont="1" applyFill="1" applyAlignment="1">
      <alignment horizontal="center" vertical="center" wrapText="1"/>
    </xf>
    <xf numFmtId="0" fontId="42" fillId="32" borderId="0" xfId="0" applyFont="1" applyFill="1" applyBorder="1" applyAlignment="1">
      <alignment vertical="center" wrapText="1"/>
    </xf>
    <xf numFmtId="0" fontId="50" fillId="32" borderId="0" xfId="0" applyFont="1" applyFill="1" applyAlignment="1">
      <alignment vertical="center" wrapText="1"/>
    </xf>
    <xf numFmtId="0" fontId="41" fillId="0" borderId="10" xfId="0" applyFont="1" applyBorder="1" applyAlignment="1" applyProtection="1">
      <alignment horizontal="left" vertical="center" wrapText="1"/>
      <protection locked="0"/>
    </xf>
    <xf numFmtId="0" fontId="41" fillId="0" borderId="19" xfId="0" applyFont="1" applyBorder="1" applyAlignment="1" applyProtection="1">
      <alignment horizontal="left" vertical="center" wrapText="1"/>
      <protection locked="0"/>
    </xf>
    <xf numFmtId="0" fontId="41" fillId="0" borderId="11" xfId="0" applyFont="1" applyBorder="1" applyAlignment="1" applyProtection="1">
      <alignment horizontal="left" vertical="center" wrapText="1"/>
      <protection locked="0"/>
    </xf>
    <xf numFmtId="0" fontId="49" fillId="33" borderId="32" xfId="0" applyFont="1" applyFill="1" applyBorder="1" applyAlignment="1" applyProtection="1">
      <alignment horizontal="center" vertical="center"/>
    </xf>
    <xf numFmtId="0" fontId="49" fillId="33" borderId="0" xfId="0" applyFont="1" applyFill="1" applyBorder="1" applyAlignment="1" applyProtection="1">
      <alignment horizontal="center" vertical="center"/>
    </xf>
    <xf numFmtId="0" fontId="49" fillId="0" borderId="0" xfId="0" applyFont="1" applyFill="1" applyAlignment="1">
      <alignment horizontal="center" vertical="center"/>
    </xf>
    <xf numFmtId="0" fontId="39" fillId="25" borderId="19" xfId="0" applyFont="1" applyFill="1" applyBorder="1" applyAlignment="1" applyProtection="1">
      <alignment horizontal="right" vertical="center"/>
    </xf>
    <xf numFmtId="0" fontId="39" fillId="0" borderId="54" xfId="0" applyFont="1" applyBorder="1" applyAlignment="1">
      <alignment horizontal="right" vertical="center"/>
    </xf>
    <xf numFmtId="0" fontId="49" fillId="33" borderId="34" xfId="0" applyFont="1" applyFill="1" applyBorder="1" applyAlignment="1">
      <alignment horizontal="center" vertical="center" wrapText="1"/>
    </xf>
    <xf numFmtId="0" fontId="49" fillId="33" borderId="27" xfId="0" applyFont="1" applyFill="1" applyBorder="1" applyAlignment="1">
      <alignment horizontal="center" vertical="center" wrapText="1"/>
    </xf>
    <xf numFmtId="0" fontId="41" fillId="0" borderId="40" xfId="0" applyFont="1" applyBorder="1" applyAlignment="1" applyProtection="1">
      <alignment horizontal="left" vertical="center" wrapText="1"/>
      <protection locked="0"/>
    </xf>
    <xf numFmtId="5" fontId="42" fillId="0" borderId="32" xfId="0" applyNumberFormat="1" applyFont="1" applyFill="1" applyBorder="1" applyAlignment="1" applyProtection="1">
      <alignment horizontal="left" vertical="center" wrapText="1"/>
      <protection hidden="1"/>
    </xf>
    <xf numFmtId="5" fontId="42" fillId="0" borderId="0" xfId="0" applyNumberFormat="1" applyFont="1" applyFill="1" applyBorder="1" applyAlignment="1" applyProtection="1">
      <alignment horizontal="left" vertical="center" wrapText="1"/>
      <protection hidden="1"/>
    </xf>
    <xf numFmtId="5" fontId="77" fillId="33" borderId="32" xfId="0" applyNumberFormat="1" applyFont="1" applyFill="1" applyBorder="1" applyAlignment="1" applyProtection="1">
      <alignment horizontal="center" vertical="center"/>
    </xf>
    <xf numFmtId="5" fontId="77" fillId="33" borderId="0" xfId="0" applyNumberFormat="1" applyFont="1" applyFill="1" applyBorder="1" applyAlignment="1" applyProtection="1">
      <alignment horizontal="center" vertical="center"/>
    </xf>
    <xf numFmtId="0" fontId="77" fillId="33" borderId="32" xfId="0" applyFont="1" applyFill="1" applyBorder="1" applyAlignment="1" applyProtection="1">
      <alignment horizontal="center" vertical="center"/>
    </xf>
    <xf numFmtId="0" fontId="77" fillId="33" borderId="0" xfId="0" applyFont="1" applyFill="1" applyBorder="1" applyAlignment="1" applyProtection="1">
      <alignment horizontal="center" vertical="center"/>
    </xf>
    <xf numFmtId="5" fontId="77" fillId="0" borderId="32" xfId="0" applyNumberFormat="1" applyFont="1" applyFill="1" applyBorder="1" applyAlignment="1" applyProtection="1">
      <alignment horizontal="center" vertical="center"/>
    </xf>
    <xf numFmtId="5" fontId="77" fillId="0" borderId="0" xfId="0" applyNumberFormat="1" applyFont="1" applyFill="1" applyBorder="1" applyAlignment="1" applyProtection="1">
      <alignment horizontal="center" vertical="center"/>
    </xf>
    <xf numFmtId="0" fontId="77" fillId="0" borderId="0" xfId="0" applyFont="1" applyFill="1" applyBorder="1" applyAlignment="1">
      <alignment horizontal="center" vertical="center"/>
    </xf>
    <xf numFmtId="0" fontId="77" fillId="0" borderId="32" xfId="0" applyFont="1" applyFill="1" applyBorder="1" applyAlignment="1">
      <alignment horizontal="center" vertical="center" wrapText="1"/>
    </xf>
    <xf numFmtId="0" fontId="77" fillId="0" borderId="0" xfId="0" applyFont="1" applyFill="1" applyBorder="1" applyAlignment="1">
      <alignment horizontal="center" vertical="center" wrapText="1"/>
    </xf>
    <xf numFmtId="0" fontId="67" fillId="33" borderId="0" xfId="0" applyFont="1" applyFill="1" applyAlignment="1">
      <alignment horizontal="center" vertical="center" wrapText="1"/>
    </xf>
    <xf numFmtId="0" fontId="40" fillId="33" borderId="0" xfId="0" applyFont="1" applyFill="1" applyAlignment="1">
      <alignment horizontal="center" wrapText="1"/>
    </xf>
    <xf numFmtId="0" fontId="68" fillId="33" borderId="0" xfId="0" applyFont="1" applyFill="1" applyAlignment="1">
      <alignment horizontal="center" wrapText="1"/>
    </xf>
    <xf numFmtId="0" fontId="51" fillId="32" borderId="65" xfId="0" applyFont="1" applyFill="1" applyBorder="1" applyAlignment="1">
      <alignment horizontal="left" vertical="center" wrapText="1"/>
    </xf>
    <xf numFmtId="0" fontId="41" fillId="32" borderId="55" xfId="0" applyFont="1" applyFill="1" applyBorder="1" applyAlignment="1">
      <alignment wrapText="1"/>
    </xf>
    <xf numFmtId="0" fontId="41" fillId="32" borderId="21" xfId="0" applyFont="1" applyFill="1" applyBorder="1" applyAlignment="1">
      <alignment wrapText="1"/>
    </xf>
    <xf numFmtId="0" fontId="48" fillId="33" borderId="32" xfId="134" applyFont="1" applyFill="1" applyBorder="1" applyAlignment="1" applyProtection="1">
      <alignment horizontal="right" vertical="center" wrapText="1" indent="1"/>
    </xf>
    <xf numFmtId="0" fontId="48" fillId="33" borderId="0" xfId="134" applyFont="1" applyFill="1" applyBorder="1" applyAlignment="1" applyProtection="1">
      <alignment horizontal="right" vertical="center" wrapText="1" indent="1"/>
    </xf>
    <xf numFmtId="0" fontId="48" fillId="33" borderId="16" xfId="134" applyFont="1" applyFill="1" applyBorder="1" applyAlignment="1" applyProtection="1">
      <alignment horizontal="right" vertical="center" wrapText="1" indent="1"/>
    </xf>
    <xf numFmtId="0" fontId="41" fillId="0" borderId="36" xfId="0" applyFont="1" applyBorder="1" applyAlignment="1" applyProtection="1">
      <alignment horizontal="left" vertical="center" wrapText="1"/>
      <protection locked="0"/>
    </xf>
    <xf numFmtId="0" fontId="51" fillId="25" borderId="60" xfId="0" applyFont="1" applyFill="1" applyBorder="1" applyAlignment="1">
      <alignment horizontal="left" vertical="center" wrapText="1"/>
    </xf>
    <xf numFmtId="0" fontId="39" fillId="25" borderId="19" xfId="0" applyFont="1" applyFill="1" applyBorder="1" applyAlignment="1">
      <alignment wrapText="1"/>
    </xf>
    <xf numFmtId="0" fontId="39" fillId="25" borderId="54" xfId="0" applyFont="1" applyFill="1" applyBorder="1" applyAlignment="1">
      <alignment wrapText="1"/>
    </xf>
    <xf numFmtId="0" fontId="39" fillId="33" borderId="32" xfId="134" applyFont="1" applyFill="1" applyBorder="1" applyAlignment="1" applyProtection="1">
      <alignment horizontal="right" vertical="center" indent="1"/>
    </xf>
    <xf numFmtId="0" fontId="48" fillId="33" borderId="0" xfId="134" applyFont="1" applyFill="1" applyBorder="1" applyAlignment="1" applyProtection="1">
      <alignment horizontal="right" vertical="center" indent="1"/>
    </xf>
    <xf numFmtId="0" fontId="42" fillId="32" borderId="15" xfId="0" applyFont="1" applyFill="1" applyBorder="1" applyAlignment="1" applyProtection="1">
      <alignment horizontal="left" vertical="center" wrapText="1"/>
      <protection hidden="1"/>
    </xf>
    <xf numFmtId="0" fontId="41" fillId="32" borderId="0" xfId="0" applyFont="1" applyFill="1" applyBorder="1" applyAlignment="1">
      <alignment horizontal="left" vertical="center"/>
    </xf>
    <xf numFmtId="0" fontId="41" fillId="32" borderId="23" xfId="0" applyFont="1" applyFill="1" applyBorder="1" applyAlignment="1">
      <alignment horizontal="left" vertical="center"/>
    </xf>
    <xf numFmtId="0" fontId="41" fillId="27" borderId="67" xfId="0" applyFont="1" applyFill="1" applyBorder="1" applyAlignment="1">
      <alignment horizontal="center" vertical="center" wrapText="1"/>
    </xf>
    <xf numFmtId="0" fontId="41" fillId="27" borderId="10" xfId="0" applyFont="1" applyFill="1" applyBorder="1" applyAlignment="1" applyProtection="1">
      <alignment horizontal="left" vertical="center" wrapText="1"/>
      <protection locked="0"/>
    </xf>
    <xf numFmtId="0" fontId="41" fillId="27" borderId="19" xfId="0" applyFont="1" applyFill="1" applyBorder="1" applyAlignment="1" applyProtection="1">
      <alignment horizontal="left" vertical="center" wrapText="1"/>
      <protection locked="0"/>
    </xf>
    <xf numFmtId="0" fontId="41" fillId="27" borderId="11" xfId="0" applyFont="1" applyFill="1" applyBorder="1" applyAlignment="1" applyProtection="1">
      <alignment horizontal="left" vertical="center" wrapText="1"/>
      <protection locked="0"/>
    </xf>
    <xf numFmtId="0" fontId="51" fillId="25" borderId="36" xfId="0" applyFont="1" applyFill="1" applyBorder="1" applyAlignment="1">
      <alignment horizontal="center" vertical="center" wrapText="1"/>
    </xf>
    <xf numFmtId="0" fontId="59" fillId="25" borderId="36" xfId="0" applyFont="1" applyFill="1" applyBorder="1" applyAlignment="1">
      <alignment horizontal="left" vertical="center"/>
    </xf>
    <xf numFmtId="0" fontId="59" fillId="25" borderId="38" xfId="0" applyFont="1" applyFill="1" applyBorder="1" applyAlignment="1">
      <alignment horizontal="left" vertical="center"/>
    </xf>
    <xf numFmtId="0" fontId="51" fillId="25" borderId="10" xfId="0" applyFont="1" applyFill="1" applyBorder="1" applyAlignment="1" applyProtection="1">
      <alignment horizontal="center" vertical="center"/>
      <protection hidden="1"/>
    </xf>
    <xf numFmtId="0" fontId="51" fillId="25" borderId="19" xfId="0" applyFont="1" applyFill="1" applyBorder="1" applyAlignment="1" applyProtection="1">
      <alignment horizontal="center" vertical="center"/>
      <protection hidden="1"/>
    </xf>
    <xf numFmtId="0" fontId="51" fillId="25" borderId="54" xfId="0" applyFont="1" applyFill="1" applyBorder="1" applyAlignment="1" applyProtection="1">
      <alignment horizontal="center" vertical="center"/>
      <protection hidden="1"/>
    </xf>
    <xf numFmtId="0" fontId="41" fillId="24" borderId="36" xfId="0" applyFont="1" applyFill="1" applyBorder="1" applyAlignment="1" applyProtection="1">
      <alignment horizontal="left" vertical="center" wrapText="1"/>
      <protection locked="0"/>
    </xf>
    <xf numFmtId="0" fontId="49" fillId="33" borderId="12" xfId="134" applyFont="1" applyFill="1" applyBorder="1" applyAlignment="1" applyProtection="1">
      <alignment horizontal="center" vertical="center"/>
    </xf>
    <xf numFmtId="0" fontId="49" fillId="33" borderId="13" xfId="134" applyFont="1" applyFill="1" applyBorder="1" applyAlignment="1" applyProtection="1">
      <alignment horizontal="center" vertical="center"/>
    </xf>
    <xf numFmtId="0" fontId="49" fillId="33" borderId="25" xfId="134" applyFont="1" applyFill="1" applyBorder="1" applyAlignment="1" applyProtection="1">
      <alignment horizontal="center" vertical="center"/>
    </xf>
    <xf numFmtId="0" fontId="49" fillId="33" borderId="15" xfId="0" applyFont="1" applyFill="1" applyBorder="1" applyAlignment="1" applyProtection="1">
      <alignment horizontal="center" vertical="center"/>
    </xf>
    <xf numFmtId="0" fontId="49" fillId="33" borderId="23" xfId="0" applyFont="1" applyFill="1" applyBorder="1" applyAlignment="1" applyProtection="1">
      <alignment horizontal="center" vertical="center"/>
    </xf>
    <xf numFmtId="0" fontId="49" fillId="33" borderId="17" xfId="0" applyFont="1" applyFill="1" applyBorder="1" applyAlignment="1" applyProtection="1">
      <alignment horizontal="center" vertical="center"/>
    </xf>
    <xf numFmtId="0" fontId="49" fillId="33" borderId="18" xfId="0" applyFont="1" applyFill="1" applyBorder="1" applyAlignment="1" applyProtection="1">
      <alignment horizontal="center" vertical="center"/>
    </xf>
    <xf numFmtId="0" fontId="49" fillId="33" borderId="56" xfId="0" applyFont="1" applyFill="1" applyBorder="1" applyAlignment="1" applyProtection="1">
      <alignment horizontal="center" vertical="center"/>
    </xf>
    <xf numFmtId="169" fontId="41" fillId="0" borderId="36" xfId="0" applyNumberFormat="1" applyFont="1" applyBorder="1" applyAlignment="1" applyProtection="1">
      <alignment horizontal="left" vertical="center" wrapText="1"/>
      <protection locked="0"/>
    </xf>
    <xf numFmtId="172" fontId="41" fillId="0" borderId="10" xfId="0" applyNumberFormat="1" applyFont="1" applyBorder="1" applyAlignment="1" applyProtection="1">
      <alignment horizontal="center" vertical="center"/>
      <protection locked="0"/>
    </xf>
    <xf numFmtId="172" fontId="41" fillId="0" borderId="54" xfId="0" applyNumberFormat="1" applyFont="1" applyBorder="1" applyAlignment="1" applyProtection="1">
      <alignment horizontal="center" vertical="center"/>
      <protection locked="0"/>
    </xf>
    <xf numFmtId="0" fontId="39" fillId="25" borderId="10" xfId="0" applyFont="1" applyFill="1" applyBorder="1" applyAlignment="1" applyProtection="1">
      <alignment horizontal="right" vertical="center" wrapText="1" indent="1"/>
    </xf>
    <xf numFmtId="0" fontId="39" fillId="0" borderId="19" xfId="0" applyFont="1" applyBorder="1" applyAlignment="1">
      <alignment horizontal="right" vertical="center" wrapText="1" indent="1"/>
    </xf>
    <xf numFmtId="0" fontId="48" fillId="0" borderId="36" xfId="134" applyFont="1" applyBorder="1" applyAlignment="1" applyProtection="1">
      <alignment horizontal="left" vertical="center" wrapText="1"/>
      <protection locked="0"/>
    </xf>
    <xf numFmtId="0" fontId="39" fillId="0" borderId="36" xfId="0" applyFont="1" applyBorder="1" applyAlignment="1" applyProtection="1">
      <alignment horizontal="left" vertical="center" wrapText="1"/>
      <protection locked="0"/>
    </xf>
    <xf numFmtId="0" fontId="41" fillId="65" borderId="32" xfId="0" applyFont="1" applyFill="1" applyBorder="1" applyAlignment="1">
      <alignment horizontal="center" vertical="center" wrapText="1"/>
    </xf>
    <xf numFmtId="0" fontId="41" fillId="0" borderId="36" xfId="0" applyFont="1" applyBorder="1" applyAlignment="1" applyProtection="1">
      <alignment vertical="center"/>
      <protection locked="0"/>
    </xf>
    <xf numFmtId="0" fontId="41" fillId="0" borderId="38" xfId="0" applyFont="1" applyBorder="1" applyAlignment="1" applyProtection="1">
      <alignment vertical="center"/>
      <protection locked="0"/>
    </xf>
    <xf numFmtId="5" fontId="69" fillId="0" borderId="0" xfId="0" applyNumberFormat="1" applyFont="1" applyFill="1" applyBorder="1" applyAlignment="1" applyProtection="1">
      <alignment horizontal="left" vertical="center" wrapText="1"/>
      <protection hidden="1"/>
    </xf>
    <xf numFmtId="0" fontId="70" fillId="0" borderId="0" xfId="0" applyFont="1" applyAlignment="1">
      <alignment vertical="center" wrapText="1"/>
    </xf>
    <xf numFmtId="0" fontId="70" fillId="0" borderId="0" xfId="0" applyFont="1" applyAlignment="1">
      <alignment wrapText="1"/>
    </xf>
    <xf numFmtId="0" fontId="41" fillId="0" borderId="37" xfId="0" applyFont="1" applyBorder="1" applyAlignment="1" applyProtection="1">
      <alignment horizontal="left" vertical="center" wrapText="1"/>
      <protection locked="0"/>
    </xf>
    <xf numFmtId="0" fontId="48" fillId="33" borderId="0" xfId="134" applyFont="1" applyFill="1" applyBorder="1" applyAlignment="1" applyProtection="1">
      <alignment horizontal="center" vertical="center" wrapText="1"/>
    </xf>
    <xf numFmtId="0" fontId="51" fillId="25" borderId="65" xfId="0" applyFont="1" applyFill="1" applyBorder="1" applyAlignment="1">
      <alignment horizontal="left" vertical="center" wrapText="1"/>
    </xf>
    <xf numFmtId="0" fontId="51" fillId="25" borderId="55" xfId="0" applyFont="1" applyFill="1" applyBorder="1" applyAlignment="1">
      <alignment horizontal="left" vertical="center" wrapText="1"/>
    </xf>
    <xf numFmtId="0" fontId="51" fillId="25" borderId="21" xfId="0" applyFont="1" applyFill="1" applyBorder="1" applyAlignment="1">
      <alignment horizontal="left" vertical="center" wrapText="1"/>
    </xf>
    <xf numFmtId="0" fontId="48" fillId="0" borderId="0" xfId="134" applyFont="1" applyFill="1" applyBorder="1" applyAlignment="1" applyProtection="1">
      <alignment vertical="center"/>
    </xf>
    <xf numFmtId="0" fontId="48" fillId="0" borderId="0" xfId="134" applyFont="1" applyFill="1" applyAlignment="1" applyProtection="1">
      <alignment vertical="center"/>
    </xf>
    <xf numFmtId="0" fontId="41" fillId="24" borderId="10" xfId="0" applyFont="1" applyFill="1" applyBorder="1" applyAlignment="1" applyProtection="1">
      <alignment horizontal="left" vertical="center" wrapText="1"/>
      <protection locked="0"/>
    </xf>
    <xf numFmtId="0" fontId="41" fillId="24" borderId="19" xfId="0" applyFont="1" applyFill="1" applyBorder="1" applyAlignment="1" applyProtection="1">
      <alignment horizontal="left" vertical="center" wrapText="1"/>
      <protection locked="0"/>
    </xf>
    <xf numFmtId="0" fontId="41" fillId="24" borderId="11" xfId="0" applyFont="1" applyFill="1" applyBorder="1" applyAlignment="1" applyProtection="1">
      <alignment horizontal="left" vertical="center" wrapText="1"/>
      <protection locked="0"/>
    </xf>
    <xf numFmtId="0" fontId="42" fillId="32" borderId="13" xfId="0" applyFont="1" applyFill="1" applyBorder="1" applyAlignment="1" applyProtection="1">
      <alignment horizontal="left" vertical="center" wrapText="1"/>
    </xf>
    <xf numFmtId="0" fontId="39" fillId="0" borderId="13" xfId="0" applyFont="1" applyBorder="1" applyAlignment="1">
      <alignment wrapText="1"/>
    </xf>
    <xf numFmtId="0" fontId="39" fillId="0" borderId="14" xfId="0" applyFont="1" applyBorder="1" applyAlignment="1">
      <alignment wrapText="1"/>
    </xf>
    <xf numFmtId="0" fontId="39" fillId="0" borderId="0" xfId="0" applyFont="1" applyBorder="1" applyAlignment="1">
      <alignment wrapText="1"/>
    </xf>
    <xf numFmtId="0" fontId="39" fillId="0" borderId="0" xfId="0" applyFont="1" applyAlignment="1">
      <alignment wrapText="1"/>
    </xf>
    <xf numFmtId="0" fontId="39" fillId="0" borderId="16" xfId="0" applyFont="1" applyBorder="1" applyAlignment="1">
      <alignment wrapText="1"/>
    </xf>
    <xf numFmtId="0" fontId="39" fillId="0" borderId="18" xfId="0" applyFont="1" applyBorder="1" applyAlignment="1">
      <alignment wrapText="1"/>
    </xf>
    <xf numFmtId="0" fontId="39" fillId="0" borderId="20" xfId="0" applyFont="1" applyBorder="1" applyAlignment="1">
      <alignment wrapText="1"/>
    </xf>
    <xf numFmtId="0" fontId="39" fillId="0" borderId="36" xfId="0" applyFont="1" applyBorder="1" applyAlignment="1" applyProtection="1">
      <alignment horizontal="right" vertical="center" wrapText="1" indent="1"/>
      <protection hidden="1"/>
    </xf>
    <xf numFmtId="0" fontId="39" fillId="0" borderId="36" xfId="0" applyFont="1" applyBorder="1" applyAlignment="1">
      <alignment horizontal="right" vertical="center" wrapText="1" indent="1"/>
    </xf>
    <xf numFmtId="0" fontId="41" fillId="0" borderId="36" xfId="0" applyFont="1" applyBorder="1" applyAlignment="1" applyProtection="1">
      <alignment horizontal="center" vertical="center"/>
      <protection locked="0"/>
    </xf>
    <xf numFmtId="0" fontId="41" fillId="0" borderId="38" xfId="0" applyFont="1" applyBorder="1" applyAlignment="1" applyProtection="1">
      <alignment horizontal="center" vertical="center"/>
      <protection locked="0"/>
    </xf>
    <xf numFmtId="0" fontId="39" fillId="0" borderId="0" xfId="0" applyFont="1" applyAlignment="1">
      <alignment vertical="center"/>
    </xf>
    <xf numFmtId="0" fontId="41" fillId="65" borderId="36" xfId="0" applyFont="1" applyFill="1" applyBorder="1" applyAlignment="1" applyProtection="1">
      <alignment horizontal="left" vertical="center" wrapText="1"/>
      <protection locked="0"/>
    </xf>
    <xf numFmtId="0" fontId="39" fillId="33" borderId="59" xfId="0" applyFont="1" applyFill="1" applyBorder="1" applyAlignment="1">
      <alignment horizontal="right" vertical="center" wrapText="1" indent="1"/>
    </xf>
    <xf numFmtId="0" fontId="39" fillId="33" borderId="36" xfId="0" applyFont="1" applyFill="1" applyBorder="1" applyAlignment="1">
      <alignment horizontal="right" vertical="center" wrapText="1" indent="1"/>
    </xf>
    <xf numFmtId="0" fontId="42" fillId="33" borderId="30" xfId="0" applyFont="1" applyFill="1" applyBorder="1" applyAlignment="1">
      <alignment vertical="center" wrapText="1"/>
    </xf>
    <xf numFmtId="0" fontId="39" fillId="33" borderId="52" xfId="0" applyFont="1" applyFill="1" applyBorder="1" applyAlignment="1">
      <alignment horizontal="right" vertical="center" wrapText="1" indent="1"/>
    </xf>
    <xf numFmtId="0" fontId="39" fillId="33" borderId="44" xfId="0" applyFont="1" applyFill="1" applyBorder="1" applyAlignment="1">
      <alignment horizontal="right" vertical="center" wrapText="1" indent="1"/>
    </xf>
    <xf numFmtId="0" fontId="59" fillId="32" borderId="55" xfId="0" applyFont="1" applyFill="1" applyBorder="1" applyAlignment="1">
      <alignment horizontal="left" vertical="center" wrapText="1"/>
    </xf>
    <xf numFmtId="0" fontId="59" fillId="32" borderId="21" xfId="0" applyFont="1" applyFill="1" applyBorder="1" applyAlignment="1">
      <alignment horizontal="left" vertical="center" wrapText="1"/>
    </xf>
    <xf numFmtId="0" fontId="39" fillId="33" borderId="45" xfId="0" applyFont="1" applyFill="1" applyBorder="1" applyAlignment="1" applyProtection="1">
      <alignment horizontal="left" vertical="center" wrapText="1"/>
      <protection locked="0"/>
    </xf>
    <xf numFmtId="0" fontId="39" fillId="33" borderId="69" xfId="0" applyFont="1" applyFill="1" applyBorder="1" applyAlignment="1" applyProtection="1">
      <alignment horizontal="left" vertical="center" wrapText="1"/>
      <protection locked="0"/>
    </xf>
    <xf numFmtId="0" fontId="39" fillId="33" borderId="70" xfId="0" applyFont="1" applyFill="1" applyBorder="1" applyAlignment="1" applyProtection="1">
      <alignment horizontal="left" vertical="center" wrapText="1"/>
      <protection locked="0"/>
    </xf>
    <xf numFmtId="0" fontId="39" fillId="33" borderId="10" xfId="0" applyFont="1" applyFill="1" applyBorder="1" applyAlignment="1" applyProtection="1">
      <alignment horizontal="left" vertical="center" wrapText="1"/>
      <protection locked="0"/>
    </xf>
    <xf numFmtId="0" fontId="39" fillId="33" borderId="19" xfId="0" applyFont="1" applyFill="1" applyBorder="1" applyAlignment="1" applyProtection="1">
      <alignment horizontal="left" vertical="center" wrapText="1"/>
      <protection locked="0"/>
    </xf>
    <xf numFmtId="0" fontId="39" fillId="33" borderId="11" xfId="0" applyFont="1" applyFill="1" applyBorder="1" applyAlignment="1" applyProtection="1">
      <alignment horizontal="left" vertical="center" wrapText="1"/>
      <protection locked="0"/>
    </xf>
    <xf numFmtId="165" fontId="39" fillId="33" borderId="10" xfId="0" applyNumberFormat="1" applyFont="1" applyFill="1" applyBorder="1" applyAlignment="1" applyProtection="1">
      <alignment horizontal="center" vertical="center" wrapText="1"/>
      <protection locked="0"/>
    </xf>
    <xf numFmtId="165" fontId="39" fillId="33" borderId="54" xfId="0" applyNumberFormat="1" applyFont="1" applyFill="1" applyBorder="1" applyAlignment="1" applyProtection="1">
      <alignment horizontal="center" vertical="center" wrapText="1"/>
      <protection locked="0"/>
    </xf>
    <xf numFmtId="0" fontId="39" fillId="33" borderId="34" xfId="0" applyFont="1" applyFill="1" applyBorder="1" applyAlignment="1">
      <alignment horizontal="right" vertical="center" wrapText="1" indent="1"/>
    </xf>
    <xf numFmtId="0" fontId="39" fillId="33" borderId="27" xfId="0" applyFont="1" applyFill="1" applyBorder="1" applyAlignment="1">
      <alignment horizontal="right" vertical="center" wrapText="1" indent="1"/>
    </xf>
    <xf numFmtId="0" fontId="39" fillId="33" borderId="35" xfId="0" applyFont="1" applyFill="1" applyBorder="1" applyAlignment="1">
      <alignment horizontal="right" vertical="center" wrapText="1" indent="1"/>
    </xf>
    <xf numFmtId="0" fontId="41" fillId="33" borderId="44" xfId="0" applyFont="1" applyFill="1" applyBorder="1" applyAlignment="1" applyProtection="1">
      <alignment horizontal="left" vertical="center" wrapText="1"/>
      <protection locked="0"/>
    </xf>
    <xf numFmtId="169" fontId="41" fillId="33" borderId="10" xfId="0" applyNumberFormat="1" applyFont="1" applyFill="1" applyBorder="1" applyAlignment="1" applyProtection="1">
      <alignment horizontal="left" vertical="center" wrapText="1"/>
      <protection locked="0"/>
    </xf>
    <xf numFmtId="169" fontId="39" fillId="0" borderId="19" xfId="0" applyNumberFormat="1" applyFont="1" applyBorder="1" applyAlignment="1" applyProtection="1">
      <alignment vertical="center" wrapText="1"/>
      <protection locked="0"/>
    </xf>
    <xf numFmtId="169" fontId="39" fillId="0" borderId="54" xfId="0" applyNumberFormat="1" applyFont="1" applyBorder="1" applyAlignment="1" applyProtection="1">
      <alignment vertical="center" wrapText="1"/>
      <protection locked="0"/>
    </xf>
    <xf numFmtId="0" fontId="49" fillId="33" borderId="32" xfId="0" applyFont="1" applyFill="1" applyBorder="1" applyAlignment="1">
      <alignment horizontal="center" vertical="center"/>
    </xf>
    <xf numFmtId="0" fontId="49" fillId="33" borderId="0" xfId="0" applyFont="1" applyFill="1" applyAlignment="1">
      <alignment horizontal="center" vertical="center"/>
    </xf>
    <xf numFmtId="0" fontId="49" fillId="33" borderId="45" xfId="0" applyFont="1" applyFill="1" applyBorder="1" applyAlignment="1">
      <alignment horizontal="center" vertical="center"/>
    </xf>
    <xf numFmtId="0" fontId="49" fillId="33" borderId="69" xfId="0" applyFont="1" applyFill="1" applyBorder="1" applyAlignment="1">
      <alignment horizontal="center" vertical="center"/>
    </xf>
    <xf numFmtId="0" fontId="49" fillId="33" borderId="70" xfId="0" applyFont="1" applyFill="1" applyBorder="1" applyAlignment="1">
      <alignment horizontal="center" vertical="center"/>
    </xf>
    <xf numFmtId="0" fontId="49" fillId="33" borderId="32" xfId="134" applyFont="1" applyFill="1" applyBorder="1" applyAlignment="1" applyProtection="1">
      <alignment horizontal="center" vertical="center"/>
    </xf>
    <xf numFmtId="0" fontId="49" fillId="33" borderId="0" xfId="134" applyFont="1" applyFill="1" applyAlignment="1" applyProtection="1">
      <alignment horizontal="center" vertical="center"/>
    </xf>
    <xf numFmtId="0" fontId="49" fillId="33" borderId="10" xfId="0" applyFont="1" applyFill="1" applyBorder="1" applyAlignment="1">
      <alignment horizontal="center" vertical="center"/>
    </xf>
    <xf numFmtId="0" fontId="49" fillId="33" borderId="19" xfId="0" applyFont="1" applyFill="1" applyBorder="1" applyAlignment="1">
      <alignment horizontal="center" vertical="center"/>
    </xf>
    <xf numFmtId="0" fontId="49" fillId="33" borderId="54" xfId="0" applyFont="1" applyFill="1" applyBorder="1" applyAlignment="1">
      <alignment horizontal="center" vertical="center"/>
    </xf>
    <xf numFmtId="0" fontId="49" fillId="33" borderId="0" xfId="0" applyFont="1" applyFill="1" applyBorder="1" applyAlignment="1">
      <alignment horizontal="center" vertical="center"/>
    </xf>
    <xf numFmtId="0" fontId="49" fillId="33" borderId="10" xfId="0" applyFont="1" applyFill="1" applyBorder="1" applyAlignment="1" applyProtection="1">
      <alignment horizontal="center" vertical="center"/>
    </xf>
    <xf numFmtId="0" fontId="49" fillId="33" borderId="19" xfId="0" applyFont="1" applyFill="1" applyBorder="1" applyAlignment="1" applyProtection="1">
      <alignment horizontal="center" vertical="center"/>
    </xf>
    <xf numFmtId="0" fontId="49" fillId="33" borderId="54" xfId="0" applyFont="1" applyFill="1" applyBorder="1" applyAlignment="1" applyProtection="1">
      <alignment horizontal="center" vertical="center"/>
    </xf>
    <xf numFmtId="0" fontId="49" fillId="40" borderId="32" xfId="0" applyFont="1" applyFill="1" applyBorder="1" applyAlignment="1">
      <alignment horizontal="center" vertical="center" wrapText="1"/>
    </xf>
    <xf numFmtId="0" fontId="49" fillId="40" borderId="0" xfId="0" applyFont="1" applyFill="1" applyBorder="1" applyAlignment="1">
      <alignment horizontal="center" vertical="center" wrapText="1"/>
    </xf>
    <xf numFmtId="0" fontId="57" fillId="33" borderId="0" xfId="0" applyFont="1" applyFill="1" applyBorder="1" applyAlignment="1">
      <alignment horizontal="center" vertical="center"/>
    </xf>
    <xf numFmtId="0" fontId="49" fillId="33" borderId="10" xfId="0" applyFont="1" applyFill="1" applyBorder="1" applyAlignment="1" applyProtection="1">
      <alignment horizontal="center" vertical="center" wrapText="1"/>
    </xf>
    <xf numFmtId="0" fontId="49" fillId="33" borderId="19" xfId="0" applyFont="1" applyFill="1" applyBorder="1" applyAlignment="1" applyProtection="1">
      <alignment horizontal="center" vertical="center" wrapText="1"/>
    </xf>
    <xf numFmtId="0" fontId="49" fillId="33" borderId="54" xfId="0" applyFont="1" applyFill="1" applyBorder="1" applyAlignment="1" applyProtection="1">
      <alignment horizontal="center" vertical="center" wrapText="1"/>
    </xf>
    <xf numFmtId="0" fontId="49" fillId="0" borderId="32" xfId="0" applyFont="1" applyFill="1" applyBorder="1" applyAlignment="1">
      <alignment horizontal="center" vertical="center" wrapText="1"/>
    </xf>
    <xf numFmtId="0" fontId="49" fillId="0" borderId="0" xfId="0" applyFont="1" applyFill="1" applyBorder="1" applyAlignment="1">
      <alignment horizontal="center" vertical="center" wrapText="1"/>
    </xf>
    <xf numFmtId="0" fontId="39" fillId="33" borderId="34" xfId="0" applyFont="1" applyFill="1" applyBorder="1" applyAlignment="1">
      <alignment horizontal="right" vertical="center" wrapText="1"/>
    </xf>
    <xf numFmtId="0" fontId="39" fillId="33" borderId="27" xfId="0" applyFont="1" applyFill="1" applyBorder="1" applyAlignment="1">
      <alignment vertical="center" wrapText="1"/>
    </xf>
    <xf numFmtId="0" fontId="39" fillId="33" borderId="32" xfId="0" applyFont="1" applyFill="1" applyBorder="1" applyAlignment="1">
      <alignment horizontal="right" vertical="center" wrapText="1"/>
    </xf>
    <xf numFmtId="0" fontId="39" fillId="33" borderId="0" xfId="0" applyFont="1" applyFill="1" applyBorder="1" applyAlignment="1">
      <alignment vertical="center" wrapText="1"/>
    </xf>
    <xf numFmtId="0" fontId="39" fillId="33" borderId="38" xfId="0" applyFont="1" applyFill="1" applyBorder="1" applyAlignment="1">
      <alignment horizontal="left" vertical="center" wrapText="1"/>
    </xf>
    <xf numFmtId="0" fontId="39" fillId="0" borderId="54" xfId="0" applyFont="1" applyBorder="1" applyAlignment="1" applyProtection="1">
      <alignment vertical="center" wrapText="1"/>
      <protection locked="0"/>
    </xf>
    <xf numFmtId="0" fontId="51" fillId="32" borderId="10" xfId="0" applyFont="1" applyFill="1" applyBorder="1" applyAlignment="1">
      <alignment horizontal="left" vertical="center" wrapText="1"/>
    </xf>
    <xf numFmtId="0" fontId="51" fillId="32" borderId="19" xfId="0" applyFont="1" applyFill="1" applyBorder="1" applyAlignment="1">
      <alignment vertical="center" wrapText="1"/>
    </xf>
    <xf numFmtId="0" fontId="41" fillId="32" borderId="19" xfId="0" applyFont="1" applyFill="1" applyBorder="1" applyAlignment="1">
      <alignment vertical="center" wrapText="1"/>
    </xf>
    <xf numFmtId="0" fontId="41" fillId="32" borderId="54" xfId="0" applyFont="1" applyFill="1" applyBorder="1" applyAlignment="1">
      <alignment vertical="center" wrapText="1"/>
    </xf>
    <xf numFmtId="0" fontId="41" fillId="0" borderId="19" xfId="0" applyFont="1" applyBorder="1" applyAlignment="1">
      <alignment vertical="center" wrapText="1"/>
    </xf>
    <xf numFmtId="0" fontId="41" fillId="0" borderId="54" xfId="0" applyFont="1" applyBorder="1" applyAlignment="1">
      <alignment vertical="center" wrapText="1"/>
    </xf>
    <xf numFmtId="0" fontId="42" fillId="0" borderId="30" xfId="0" applyFont="1" applyBorder="1" applyAlignment="1">
      <alignment vertical="center" wrapText="1"/>
    </xf>
    <xf numFmtId="0" fontId="51" fillId="25" borderId="68" xfId="0" applyFont="1" applyFill="1" applyBorder="1" applyAlignment="1">
      <alignment horizontal="left" vertical="center" wrapText="1"/>
    </xf>
    <xf numFmtId="0" fontId="39" fillId="25" borderId="55" xfId="0" applyFont="1" applyFill="1" applyBorder="1" applyAlignment="1">
      <alignment vertical="center" wrapText="1"/>
    </xf>
    <xf numFmtId="0" fontId="39" fillId="25" borderId="21" xfId="0" applyFont="1" applyFill="1" applyBorder="1" applyAlignment="1">
      <alignment vertical="center" wrapText="1"/>
    </xf>
    <xf numFmtId="0" fontId="48" fillId="0" borderId="0" xfId="134" applyFont="1" applyAlignment="1" applyProtection="1">
      <alignment horizontal="center" vertical="center" wrapText="1"/>
    </xf>
    <xf numFmtId="0" fontId="39" fillId="33" borderId="59" xfId="0" applyFont="1" applyFill="1" applyBorder="1" applyAlignment="1">
      <alignment horizontal="right" vertical="center" wrapText="1"/>
    </xf>
    <xf numFmtId="0" fontId="39" fillId="33" borderId="36" xfId="0" applyFont="1" applyFill="1" applyBorder="1" applyAlignment="1">
      <alignment vertical="center" wrapText="1"/>
    </xf>
    <xf numFmtId="0" fontId="39" fillId="33" borderId="36" xfId="0" applyFont="1" applyFill="1" applyBorder="1" applyAlignment="1" applyProtection="1">
      <alignment horizontal="left" vertical="center" wrapText="1"/>
      <protection locked="0"/>
    </xf>
    <xf numFmtId="0" fontId="39" fillId="33" borderId="52" xfId="0" applyFont="1" applyFill="1" applyBorder="1" applyAlignment="1">
      <alignment horizontal="right" vertical="center" wrapText="1"/>
    </xf>
    <xf numFmtId="0" fontId="39" fillId="33" borderId="44" xfId="0" applyFont="1" applyFill="1" applyBorder="1" applyAlignment="1">
      <alignment vertical="center" wrapText="1"/>
    </xf>
    <xf numFmtId="0" fontId="39" fillId="33" borderId="44" xfId="0" applyFont="1" applyFill="1" applyBorder="1" applyAlignment="1" applyProtection="1">
      <alignment horizontal="left" vertical="center" wrapText="1"/>
      <protection locked="0"/>
    </xf>
    <xf numFmtId="0" fontId="39" fillId="33" borderId="41" xfId="0" applyFont="1" applyFill="1" applyBorder="1" applyAlignment="1" applyProtection="1">
      <alignment horizontal="left" vertical="center" wrapText="1"/>
      <protection locked="0"/>
    </xf>
    <xf numFmtId="0" fontId="41" fillId="33" borderId="59" xfId="0" applyFont="1" applyFill="1" applyBorder="1" applyAlignment="1">
      <alignment horizontal="left" vertical="center" wrapText="1"/>
    </xf>
    <xf numFmtId="0" fontId="39" fillId="33" borderId="36" xfId="0" applyFont="1" applyFill="1" applyBorder="1" applyAlignment="1">
      <alignment horizontal="left" vertical="center" wrapText="1"/>
    </xf>
    <xf numFmtId="0" fontId="39" fillId="33" borderId="34" xfId="0" applyFont="1" applyFill="1" applyBorder="1" applyAlignment="1">
      <alignment horizontal="left" vertical="center" wrapText="1"/>
    </xf>
    <xf numFmtId="5" fontId="42" fillId="33" borderId="0" xfId="0" applyNumberFormat="1" applyFont="1" applyFill="1" applyBorder="1" applyAlignment="1" applyProtection="1">
      <alignment horizontal="left" vertical="center" wrapText="1"/>
      <protection hidden="1"/>
    </xf>
    <xf numFmtId="0" fontId="39" fillId="33" borderId="32" xfId="0" applyFont="1" applyFill="1" applyBorder="1" applyAlignment="1">
      <alignment horizontal="left" vertical="center" wrapText="1"/>
    </xf>
    <xf numFmtId="0" fontId="39" fillId="0" borderId="36" xfId="0" applyFont="1" applyBorder="1" applyAlignment="1" applyProtection="1">
      <alignment horizontal="right" vertical="center" wrapText="1"/>
      <protection hidden="1"/>
    </xf>
    <xf numFmtId="14" fontId="41" fillId="0" borderId="10" xfId="0" applyNumberFormat="1" applyFont="1" applyBorder="1" applyAlignment="1" applyProtection="1">
      <alignment horizontal="center" vertical="center"/>
      <protection locked="0"/>
    </xf>
    <xf numFmtId="14" fontId="41" fillId="0" borderId="54" xfId="0" applyNumberFormat="1" applyFont="1" applyBorder="1" applyAlignment="1" applyProtection="1">
      <alignment horizontal="center" vertical="center"/>
      <protection locked="0"/>
    </xf>
    <xf numFmtId="0" fontId="39" fillId="0" borderId="36" xfId="0" applyFont="1" applyBorder="1" applyAlignment="1">
      <alignment horizontal="right" vertical="center" wrapText="1"/>
    </xf>
    <xf numFmtId="0" fontId="39" fillId="25" borderId="10" xfId="0" applyFont="1" applyFill="1" applyBorder="1" applyAlignment="1" applyProtection="1">
      <alignment horizontal="right" vertical="center" wrapText="1"/>
    </xf>
    <xf numFmtId="0" fontId="39" fillId="0" borderId="19" xfId="0" applyFont="1" applyBorder="1" applyAlignment="1">
      <alignment horizontal="right" vertical="center" wrapText="1"/>
    </xf>
    <xf numFmtId="0" fontId="39" fillId="0" borderId="11" xfId="0" applyFont="1" applyBorder="1" applyAlignment="1">
      <alignment horizontal="right" vertical="center"/>
    </xf>
    <xf numFmtId="0" fontId="39" fillId="0" borderId="0" xfId="0" applyFont="1" applyAlignment="1">
      <alignment vertical="center" wrapText="1"/>
    </xf>
    <xf numFmtId="0" fontId="39" fillId="33" borderId="0" xfId="0" applyFont="1" applyFill="1" applyBorder="1" applyAlignment="1">
      <alignment horizontal="right" vertical="center" wrapText="1"/>
    </xf>
    <xf numFmtId="0" fontId="39" fillId="33" borderId="16" xfId="0" applyFont="1" applyFill="1" applyBorder="1" applyAlignment="1">
      <alignment vertical="center" wrapText="1"/>
    </xf>
    <xf numFmtId="0" fontId="54" fillId="33" borderId="0" xfId="0" applyFont="1" applyFill="1" applyAlignment="1">
      <alignment horizontal="center" wrapText="1"/>
    </xf>
    <xf numFmtId="0" fontId="39" fillId="33" borderId="32" xfId="134" applyFont="1" applyFill="1" applyBorder="1" applyAlignment="1" applyProtection="1">
      <alignment horizontal="right" vertical="center"/>
    </xf>
    <xf numFmtId="0" fontId="48" fillId="33" borderId="0" xfId="134" applyFont="1" applyFill="1" applyBorder="1" applyAlignment="1" applyProtection="1">
      <alignment vertical="center"/>
    </xf>
    <xf numFmtId="0" fontId="48" fillId="33" borderId="32" xfId="134" applyFont="1" applyFill="1" applyBorder="1" applyAlignment="1" applyProtection="1">
      <alignment horizontal="right" vertical="center" wrapText="1"/>
    </xf>
    <xf numFmtId="0" fontId="48" fillId="33" borderId="0" xfId="134" applyFont="1" applyFill="1" applyBorder="1" applyAlignment="1" applyProtection="1">
      <alignment horizontal="right" vertical="center" wrapText="1"/>
    </xf>
    <xf numFmtId="0" fontId="48" fillId="33" borderId="16" xfId="134" applyFont="1" applyFill="1" applyBorder="1" applyAlignment="1" applyProtection="1">
      <alignment horizontal="right" vertical="center" wrapText="1"/>
    </xf>
    <xf numFmtId="0" fontId="41" fillId="0" borderId="32" xfId="0" applyFont="1" applyFill="1" applyBorder="1" applyAlignment="1">
      <alignment horizontal="center" vertical="center" wrapText="1"/>
    </xf>
    <xf numFmtId="0" fontId="39" fillId="33" borderId="16" xfId="0" applyFont="1" applyFill="1" applyBorder="1" applyAlignment="1">
      <alignment horizontal="right" vertical="center" wrapText="1"/>
    </xf>
    <xf numFmtId="0" fontId="39" fillId="0" borderId="36" xfId="0" applyFont="1" applyBorder="1" applyAlignment="1">
      <alignment horizontal="left" vertical="center" wrapText="1"/>
    </xf>
    <xf numFmtId="0" fontId="49" fillId="40" borderId="0" xfId="0" applyFont="1" applyFill="1" applyAlignment="1" applyProtection="1">
      <alignment horizontal="center"/>
    </xf>
    <xf numFmtId="0" fontId="49" fillId="40" borderId="0" xfId="0" applyFont="1" applyFill="1" applyBorder="1" applyAlignment="1" applyProtection="1">
      <alignment horizontal="center" vertical="center"/>
    </xf>
    <xf numFmtId="0" fontId="39" fillId="0" borderId="42" xfId="0" applyFont="1" applyBorder="1" applyAlignment="1" applyProtection="1">
      <alignment horizontal="center" vertical="center" wrapText="1"/>
    </xf>
    <xf numFmtId="0" fontId="39" fillId="0" borderId="20" xfId="0" applyFont="1" applyBorder="1" applyAlignment="1" applyProtection="1">
      <alignment horizontal="center" vertical="center" wrapText="1"/>
    </xf>
    <xf numFmtId="0" fontId="57" fillId="43" borderId="0" xfId="0" applyFont="1" applyFill="1" applyBorder="1" applyAlignment="1" applyProtection="1">
      <alignment horizontal="center" vertical="center" wrapText="1"/>
    </xf>
    <xf numFmtId="0" fontId="57" fillId="43" borderId="23" xfId="0" applyFont="1" applyFill="1" applyBorder="1" applyAlignment="1" applyProtection="1">
      <alignment horizontal="center" vertical="center" wrapText="1"/>
    </xf>
    <xf numFmtId="0" fontId="59" fillId="32" borderId="60" xfId="149" applyFont="1" applyFill="1" applyBorder="1" applyAlignment="1" applyProtection="1">
      <alignment horizontal="left" vertical="center" wrapText="1"/>
    </xf>
    <xf numFmtId="0" fontId="59" fillId="32" borderId="19" xfId="149" applyFont="1" applyFill="1" applyBorder="1" applyAlignment="1" applyProtection="1">
      <alignment horizontal="left" vertical="center" wrapText="1"/>
    </xf>
    <xf numFmtId="0" fontId="39" fillId="0" borderId="19" xfId="149" applyFont="1" applyBorder="1" applyAlignment="1" applyProtection="1">
      <alignment vertical="center" wrapText="1"/>
    </xf>
    <xf numFmtId="0" fontId="39" fillId="0" borderId="54" xfId="149" applyFont="1" applyBorder="1" applyAlignment="1" applyProtection="1">
      <alignment vertical="center" wrapText="1"/>
    </xf>
    <xf numFmtId="0" fontId="41" fillId="0" borderId="66" xfId="0" applyFont="1" applyBorder="1" applyAlignment="1" applyProtection="1">
      <alignment horizontal="center" vertical="center" wrapText="1"/>
    </xf>
    <xf numFmtId="0" fontId="41" fillId="0" borderId="14" xfId="0" applyFont="1" applyBorder="1" applyAlignment="1" applyProtection="1">
      <alignment horizontal="center" vertical="center" wrapText="1"/>
    </xf>
    <xf numFmtId="0" fontId="41" fillId="0" borderId="32" xfId="0" applyFont="1" applyBorder="1" applyAlignment="1" applyProtection="1">
      <alignment horizontal="center" vertical="center" wrapText="1"/>
    </xf>
    <xf numFmtId="0" fontId="41" fillId="0" borderId="16" xfId="0" applyFont="1" applyBorder="1" applyAlignment="1" applyProtection="1">
      <alignment horizontal="center" vertical="center" wrapText="1"/>
    </xf>
    <xf numFmtId="0" fontId="49" fillId="40" borderId="73" xfId="0" applyFont="1" applyFill="1" applyBorder="1" applyAlignment="1" applyProtection="1">
      <alignment horizontal="center" vertical="center"/>
    </xf>
    <xf numFmtId="0" fontId="49" fillId="40" borderId="69" xfId="0" applyFont="1" applyFill="1" applyBorder="1" applyAlignment="1" applyProtection="1">
      <alignment horizontal="center" vertical="center"/>
    </xf>
    <xf numFmtId="0" fontId="51" fillId="25" borderId="55" xfId="149" applyFont="1" applyFill="1" applyBorder="1" applyAlignment="1" applyProtection="1">
      <alignment horizontal="center" vertical="center"/>
    </xf>
    <xf numFmtId="0" fontId="59" fillId="0" borderId="21" xfId="149" applyFont="1" applyBorder="1" applyAlignment="1" applyProtection="1">
      <alignment vertical="center"/>
    </xf>
    <xf numFmtId="0" fontId="51" fillId="25" borderId="65" xfId="149" applyFont="1" applyFill="1" applyBorder="1" applyAlignment="1" applyProtection="1">
      <alignment horizontal="left" vertical="center" wrapText="1"/>
    </xf>
    <xf numFmtId="0" fontId="59" fillId="0" borderId="55" xfId="149" applyFont="1" applyBorder="1" applyAlignment="1" applyProtection="1">
      <alignment vertical="center" wrapText="1"/>
    </xf>
    <xf numFmtId="0" fontId="39" fillId="0" borderId="55" xfId="149" applyFont="1" applyBorder="1" applyAlignment="1" applyProtection="1">
      <alignment vertical="center"/>
    </xf>
    <xf numFmtId="0" fontId="48" fillId="0" borderId="59" xfId="134" applyFont="1" applyBorder="1" applyAlignment="1" applyProtection="1">
      <alignment horizontal="center" vertical="center"/>
    </xf>
    <xf numFmtId="0" fontId="48" fillId="0" borderId="36" xfId="134" applyFont="1" applyBorder="1" applyAlignment="1" applyProtection="1">
      <alignment horizontal="center" vertical="center"/>
    </xf>
    <xf numFmtId="0" fontId="71" fillId="0" borderId="10" xfId="149" applyFont="1" applyFill="1" applyBorder="1" applyAlignment="1" applyProtection="1">
      <alignment horizontal="left" vertical="center" wrapText="1"/>
      <protection locked="0"/>
    </xf>
    <xf numFmtId="0" fontId="39" fillId="0" borderId="19" xfId="149" applyFont="1" applyBorder="1" applyAlignment="1" applyProtection="1">
      <alignment horizontal="left" vertical="center" wrapText="1"/>
      <protection locked="0"/>
    </xf>
    <xf numFmtId="0" fontId="39" fillId="0" borderId="54" xfId="149" applyFont="1" applyBorder="1" applyAlignment="1" applyProtection="1">
      <alignment horizontal="left" vertical="center" wrapText="1"/>
      <protection locked="0"/>
    </xf>
    <xf numFmtId="0" fontId="40" fillId="52" borderId="65" xfId="0" applyFont="1" applyFill="1" applyBorder="1" applyAlignment="1" applyProtection="1">
      <alignment horizontal="center"/>
    </xf>
    <xf numFmtId="0" fontId="40" fillId="52" borderId="55" xfId="0" applyFont="1" applyFill="1" applyBorder="1" applyAlignment="1" applyProtection="1">
      <alignment horizontal="center"/>
    </xf>
    <xf numFmtId="0" fontId="40" fillId="52" borderId="21" xfId="0" applyFont="1" applyFill="1" applyBorder="1" applyAlignment="1" applyProtection="1">
      <alignment horizontal="center"/>
    </xf>
    <xf numFmtId="0" fontId="51" fillId="25" borderId="10" xfId="0" applyFont="1" applyFill="1" applyBorder="1" applyAlignment="1" applyProtection="1">
      <alignment horizontal="center" vertical="center" wrapText="1"/>
    </xf>
    <xf numFmtId="0" fontId="51" fillId="25" borderId="19" xfId="0" applyFont="1" applyFill="1" applyBorder="1" applyAlignment="1" applyProtection="1">
      <alignment horizontal="center" vertical="center" wrapText="1"/>
    </xf>
    <xf numFmtId="0" fontId="57" fillId="43" borderId="15" xfId="0" applyFont="1" applyFill="1" applyBorder="1" applyAlignment="1" applyProtection="1">
      <alignment horizontal="center" vertical="center" wrapText="1"/>
    </xf>
    <xf numFmtId="0" fontId="57" fillId="43" borderId="17" xfId="0" applyFont="1" applyFill="1" applyBorder="1" applyAlignment="1" applyProtection="1">
      <alignment horizontal="center" vertical="center" wrapText="1"/>
    </xf>
    <xf numFmtId="0" fontId="57" fillId="43" borderId="18" xfId="0" applyFont="1" applyFill="1" applyBorder="1" applyAlignment="1" applyProtection="1">
      <alignment horizontal="center" vertical="center" wrapText="1"/>
    </xf>
    <xf numFmtId="0" fontId="57" fillId="43" borderId="56" xfId="0" applyFont="1" applyFill="1" applyBorder="1" applyAlignment="1" applyProtection="1">
      <alignment horizontal="center" vertical="center" wrapText="1"/>
    </xf>
    <xf numFmtId="0" fontId="39" fillId="40" borderId="69" xfId="0" applyFont="1" applyFill="1" applyBorder="1" applyAlignment="1" applyProtection="1">
      <alignment horizontal="center" vertical="center"/>
    </xf>
    <xf numFmtId="0" fontId="39" fillId="40" borderId="70" xfId="0" applyFont="1" applyFill="1" applyBorder="1" applyAlignment="1" applyProtection="1">
      <alignment horizontal="center" vertical="center"/>
    </xf>
    <xf numFmtId="0" fontId="59" fillId="32" borderId="60" xfId="0" applyFont="1" applyFill="1" applyBorder="1" applyAlignment="1" applyProtection="1">
      <alignment horizontal="left" vertical="center" wrapText="1"/>
    </xf>
    <xf numFmtId="0" fontId="59" fillId="32" borderId="19" xfId="0" applyFont="1" applyFill="1" applyBorder="1" applyAlignment="1" applyProtection="1">
      <alignment horizontal="left" vertical="center" wrapText="1"/>
    </xf>
    <xf numFmtId="0" fontId="59" fillId="32" borderId="54" xfId="0" applyFont="1" applyFill="1" applyBorder="1" applyAlignment="1" applyProtection="1">
      <alignment horizontal="left" vertical="center" wrapText="1"/>
    </xf>
    <xf numFmtId="0" fontId="48" fillId="0" borderId="52" xfId="134" applyFont="1" applyBorder="1" applyAlignment="1" applyProtection="1">
      <alignment horizontal="center" vertical="center"/>
    </xf>
    <xf numFmtId="0" fontId="48" fillId="0" borderId="44" xfId="134" applyFont="1" applyBorder="1" applyAlignment="1" applyProtection="1">
      <alignment horizontal="center" vertical="center"/>
    </xf>
    <xf numFmtId="0" fontId="71" fillId="0" borderId="45" xfId="149" applyFont="1" applyFill="1" applyBorder="1" applyAlignment="1" applyProtection="1">
      <alignment horizontal="left" vertical="center" wrapText="1"/>
      <protection locked="0"/>
    </xf>
    <xf numFmtId="0" fontId="39" fillId="0" borderId="69" xfId="149" applyFont="1" applyBorder="1" applyAlignment="1" applyProtection="1">
      <alignment horizontal="left" vertical="center" wrapText="1"/>
      <protection locked="0"/>
    </xf>
    <xf numFmtId="0" fontId="39" fillId="0" borderId="70" xfId="149" applyFont="1" applyBorder="1" applyAlignment="1" applyProtection="1">
      <alignment horizontal="left" vertical="center" wrapText="1"/>
      <protection locked="0"/>
    </xf>
    <xf numFmtId="0" fontId="48" fillId="0" borderId="60" xfId="134" applyFont="1" applyBorder="1" applyAlignment="1" applyProtection="1">
      <alignment horizontal="center" vertical="center"/>
    </xf>
    <xf numFmtId="0" fontId="48" fillId="0" borderId="11" xfId="134" applyFont="1" applyBorder="1" applyAlignment="1" applyProtection="1">
      <alignment horizontal="center" vertical="center"/>
    </xf>
    <xf numFmtId="0" fontId="56" fillId="25" borderId="19" xfId="0" applyFont="1" applyFill="1" applyBorder="1" applyAlignment="1" applyProtection="1">
      <alignment horizontal="center" vertical="center"/>
    </xf>
    <xf numFmtId="0" fontId="56" fillId="25" borderId="54" xfId="0" applyFont="1" applyFill="1" applyBorder="1" applyAlignment="1" applyProtection="1">
      <alignment horizontal="center" vertical="center"/>
    </xf>
    <xf numFmtId="0" fontId="58" fillId="25" borderId="19" xfId="134" applyFont="1" applyFill="1" applyBorder="1" applyAlignment="1" applyProtection="1">
      <alignment horizontal="center" vertical="center" wrapText="1"/>
    </xf>
    <xf numFmtId="0" fontId="58" fillId="25" borderId="54" xfId="134" applyFont="1" applyFill="1" applyBorder="1" applyAlignment="1" applyProtection="1">
      <alignment horizontal="center" vertical="center" wrapText="1"/>
    </xf>
    <xf numFmtId="0" fontId="49" fillId="43" borderId="12" xfId="0" applyFont="1" applyFill="1" applyBorder="1" applyAlignment="1" applyProtection="1">
      <alignment horizontal="center" vertical="center" wrapText="1"/>
    </xf>
    <xf numFmtId="0" fontId="49" fillId="43" borderId="13" xfId="0" applyFont="1" applyFill="1" applyBorder="1" applyAlignment="1" applyProtection="1">
      <alignment horizontal="center" vertical="center" wrapText="1"/>
    </xf>
    <xf numFmtId="0" fontId="49" fillId="43" borderId="25" xfId="0" applyFont="1" applyFill="1" applyBorder="1" applyAlignment="1" applyProtection="1">
      <alignment horizontal="center" vertical="center" wrapText="1"/>
    </xf>
    <xf numFmtId="0" fontId="49" fillId="40" borderId="0" xfId="0" applyFont="1" applyFill="1" applyAlignment="1" applyProtection="1">
      <alignment horizontal="center" vertical="center"/>
    </xf>
    <xf numFmtId="0" fontId="49" fillId="40" borderId="32" xfId="0" applyFont="1" applyFill="1" applyBorder="1" applyAlignment="1" applyProtection="1">
      <alignment horizontal="center" vertical="center"/>
    </xf>
    <xf numFmtId="0" fontId="49" fillId="40" borderId="42" xfId="0" applyFont="1" applyFill="1" applyBorder="1" applyAlignment="1" applyProtection="1">
      <alignment horizontal="center" vertical="center"/>
    </xf>
    <xf numFmtId="0" fontId="49" fillId="40" borderId="18" xfId="0" applyFont="1" applyFill="1" applyBorder="1" applyAlignment="1" applyProtection="1">
      <alignment horizontal="center" vertical="center"/>
    </xf>
    <xf numFmtId="0" fontId="80" fillId="25" borderId="60" xfId="0" applyFont="1" applyFill="1" applyBorder="1" applyAlignment="1" applyProtection="1">
      <alignment horizontal="center" vertical="center"/>
    </xf>
    <xf numFmtId="0" fontId="80" fillId="25" borderId="19" xfId="0" applyFont="1" applyFill="1" applyBorder="1" applyAlignment="1" applyProtection="1">
      <alignment horizontal="center" vertical="center"/>
    </xf>
    <xf numFmtId="0" fontId="51" fillId="25" borderId="60" xfId="0" applyFont="1" applyFill="1" applyBorder="1" applyAlignment="1" applyProtection="1">
      <alignment horizontal="center" vertical="center" wrapText="1"/>
    </xf>
    <xf numFmtId="0" fontId="51" fillId="25" borderId="11" xfId="0" applyFont="1" applyFill="1" applyBorder="1" applyAlignment="1" applyProtection="1">
      <alignment horizontal="center" vertical="center" wrapText="1"/>
    </xf>
    <xf numFmtId="0" fontId="41" fillId="40" borderId="27" xfId="0" applyFont="1" applyFill="1" applyBorder="1" applyAlignment="1" applyProtection="1">
      <alignment horizontal="left" vertical="center"/>
    </xf>
    <xf numFmtId="0" fontId="72" fillId="25" borderId="10" xfId="149" applyFont="1" applyFill="1" applyBorder="1" applyAlignment="1" applyProtection="1">
      <alignment horizontal="center" vertical="center" wrapText="1"/>
    </xf>
    <xf numFmtId="0" fontId="39" fillId="0" borderId="19" xfId="149" applyFont="1" applyBorder="1" applyAlignment="1" applyProtection="1">
      <alignment horizontal="center" vertical="center" wrapText="1"/>
    </xf>
    <xf numFmtId="0" fontId="43" fillId="62" borderId="0" xfId="0" applyFont="1" applyFill="1" applyBorder="1" applyAlignment="1" applyProtection="1">
      <alignment horizontal="center" vertical="center" wrapText="1"/>
    </xf>
    <xf numFmtId="0" fontId="43" fillId="62" borderId="16" xfId="0" applyFont="1" applyFill="1" applyBorder="1" applyAlignment="1" applyProtection="1">
      <alignment horizontal="center" vertical="center" wrapText="1"/>
    </xf>
    <xf numFmtId="0" fontId="43" fillId="62" borderId="18" xfId="0" applyFont="1" applyFill="1" applyBorder="1" applyAlignment="1" applyProtection="1">
      <alignment horizontal="center" vertical="center" wrapText="1"/>
    </xf>
    <xf numFmtId="0" fontId="43" fillId="62" borderId="20" xfId="0" applyFont="1" applyFill="1" applyBorder="1" applyAlignment="1" applyProtection="1">
      <alignment horizontal="center" vertical="center" wrapText="1"/>
    </xf>
    <xf numFmtId="0" fontId="43" fillId="62" borderId="66" xfId="0" applyFont="1" applyFill="1" applyBorder="1" applyAlignment="1" applyProtection="1">
      <alignment horizontal="center" vertical="center" wrapText="1"/>
    </xf>
    <xf numFmtId="0" fontId="43" fillId="62" borderId="13" xfId="0" applyFont="1" applyFill="1" applyBorder="1" applyAlignment="1" applyProtection="1">
      <alignment horizontal="center" vertical="center" wrapText="1"/>
    </xf>
    <xf numFmtId="0" fontId="43" fillId="62" borderId="14" xfId="0" applyFont="1" applyFill="1" applyBorder="1" applyAlignment="1" applyProtection="1">
      <alignment horizontal="center" vertical="center" wrapText="1"/>
    </xf>
    <xf numFmtId="0" fontId="43" fillId="62" borderId="32" xfId="0" applyFont="1" applyFill="1" applyBorder="1" applyAlignment="1" applyProtection="1">
      <alignment horizontal="center" vertical="center" wrapText="1"/>
    </xf>
    <xf numFmtId="0" fontId="49" fillId="40" borderId="32" xfId="0" applyFont="1" applyFill="1" applyBorder="1" applyAlignment="1">
      <alignment horizontal="center" vertical="center"/>
    </xf>
    <xf numFmtId="0" fontId="49" fillId="40" borderId="0" xfId="0" applyFont="1" applyFill="1" applyAlignment="1">
      <alignment horizontal="center" vertical="center"/>
    </xf>
    <xf numFmtId="0" fontId="48" fillId="40" borderId="13" xfId="134" applyFont="1" applyFill="1" applyBorder="1" applyAlignment="1" applyProtection="1">
      <alignment horizontal="center" vertical="center" wrapText="1"/>
    </xf>
    <xf numFmtId="0" fontId="49" fillId="43" borderId="15" xfId="0" applyFont="1" applyFill="1" applyBorder="1" applyAlignment="1" applyProtection="1">
      <alignment horizontal="center" vertical="center"/>
    </xf>
    <xf numFmtId="0" fontId="49" fillId="43" borderId="0" xfId="0" applyFont="1" applyFill="1" applyBorder="1" applyAlignment="1" applyProtection="1">
      <alignment horizontal="center" vertical="center"/>
    </xf>
    <xf numFmtId="0" fontId="49" fillId="43" borderId="23" xfId="0" applyFont="1" applyFill="1" applyBorder="1" applyAlignment="1" applyProtection="1">
      <alignment horizontal="center" vertical="center"/>
    </xf>
    <xf numFmtId="0" fontId="79" fillId="40" borderId="32" xfId="0" applyFont="1" applyFill="1" applyBorder="1" applyAlignment="1">
      <alignment horizontal="center" vertical="center"/>
    </xf>
    <xf numFmtId="0" fontId="79" fillId="40" borderId="0" xfId="0" applyFont="1" applyFill="1" applyAlignment="1">
      <alignment horizontal="center" vertical="center"/>
    </xf>
    <xf numFmtId="0" fontId="71" fillId="0" borderId="19" xfId="149" applyFont="1" applyFill="1" applyBorder="1" applyAlignment="1" applyProtection="1">
      <alignment horizontal="left" vertical="center" wrapText="1"/>
      <protection locked="0"/>
    </xf>
    <xf numFmtId="0" fontId="71" fillId="0" borderId="54" xfId="149" applyFont="1" applyFill="1" applyBorder="1" applyAlignment="1" applyProtection="1">
      <alignment horizontal="left" vertical="center" wrapText="1"/>
      <protection locked="0"/>
    </xf>
    <xf numFmtId="164" fontId="72" fillId="25" borderId="59" xfId="149" applyNumberFormat="1" applyFont="1" applyFill="1" applyBorder="1" applyAlignment="1" applyProtection="1">
      <alignment horizontal="center" vertical="center" wrapText="1"/>
    </xf>
    <xf numFmtId="164" fontId="72" fillId="25" borderId="36" xfId="149" applyNumberFormat="1" applyFont="1" applyFill="1" applyBorder="1" applyAlignment="1" applyProtection="1">
      <alignment horizontal="center" vertical="center" wrapText="1"/>
    </xf>
    <xf numFmtId="0" fontId="39" fillId="40" borderId="49" xfId="0" applyFont="1" applyFill="1" applyBorder="1" applyAlignment="1" applyProtection="1">
      <alignment horizontal="center" vertical="center"/>
    </xf>
    <xf numFmtId="0" fontId="39" fillId="40" borderId="72" xfId="0" applyFont="1" applyFill="1" applyBorder="1" applyAlignment="1" applyProtection="1">
      <alignment horizontal="center" vertical="center"/>
    </xf>
    <xf numFmtId="0" fontId="40" fillId="52" borderId="71" xfId="0" applyFont="1" applyFill="1" applyBorder="1" applyAlignment="1" applyProtection="1">
      <alignment horizontal="center"/>
    </xf>
    <xf numFmtId="0" fontId="40" fillId="52" borderId="30" xfId="0" applyFont="1" applyFill="1" applyBorder="1" applyAlignment="1" applyProtection="1">
      <alignment horizontal="center"/>
    </xf>
    <xf numFmtId="0" fontId="40" fillId="52" borderId="31" xfId="0" applyFont="1" applyFill="1" applyBorder="1" applyAlignment="1" applyProtection="1">
      <alignment horizontal="center"/>
    </xf>
    <xf numFmtId="0" fontId="59" fillId="32" borderId="60" xfId="0" applyFont="1" applyFill="1" applyBorder="1" applyAlignment="1" applyProtection="1">
      <alignment horizontal="left" vertical="center" wrapText="1"/>
      <protection locked="0"/>
    </xf>
    <xf numFmtId="0" fontId="59" fillId="32" borderId="19" xfId="0" applyFont="1" applyFill="1" applyBorder="1" applyAlignment="1" applyProtection="1">
      <alignment horizontal="left" vertical="center" wrapText="1"/>
      <protection locked="0"/>
    </xf>
    <xf numFmtId="0" fontId="59" fillId="32" borderId="54" xfId="0" applyFont="1" applyFill="1" applyBorder="1" applyAlignment="1" applyProtection="1">
      <alignment horizontal="left" vertical="center" wrapText="1"/>
      <protection locked="0"/>
    </xf>
    <xf numFmtId="0" fontId="51" fillId="25" borderId="60" xfId="0" applyFont="1" applyFill="1" applyBorder="1" applyAlignment="1" applyProtection="1">
      <alignment horizontal="left" vertical="center"/>
      <protection locked="0"/>
    </xf>
    <xf numFmtId="0" fontId="51" fillId="25" borderId="19" xfId="0" applyFont="1" applyFill="1" applyBorder="1" applyAlignment="1" applyProtection="1">
      <alignment horizontal="left" vertical="center"/>
      <protection locked="0"/>
    </xf>
    <xf numFmtId="0" fontId="41" fillId="0" borderId="13" xfId="0" applyFont="1" applyBorder="1" applyAlignment="1" applyProtection="1">
      <alignment horizontal="center" vertical="center" wrapText="1"/>
    </xf>
    <xf numFmtId="0" fontId="41" fillId="0" borderId="0" xfId="0" applyFont="1" applyBorder="1" applyAlignment="1" applyProtection="1">
      <alignment horizontal="center" vertical="center" wrapText="1"/>
    </xf>
    <xf numFmtId="0" fontId="56" fillId="43" borderId="0" xfId="0" applyFont="1" applyFill="1" applyBorder="1" applyAlignment="1" applyProtection="1">
      <alignment horizontal="center" vertical="center" wrapText="1"/>
    </xf>
    <xf numFmtId="0" fontId="56" fillId="43" borderId="23" xfId="0" applyFont="1" applyFill="1" applyBorder="1" applyAlignment="1" applyProtection="1">
      <alignment horizontal="center" vertical="center" wrapText="1"/>
    </xf>
    <xf numFmtId="0" fontId="56" fillId="43" borderId="18" xfId="0" applyFont="1" applyFill="1" applyBorder="1" applyAlignment="1" applyProtection="1">
      <alignment horizontal="center" vertical="center" wrapText="1"/>
    </xf>
    <xf numFmtId="0" fontId="56" fillId="43" borderId="56" xfId="0" applyFont="1" applyFill="1" applyBorder="1" applyAlignment="1" applyProtection="1">
      <alignment horizontal="center" vertical="center" wrapText="1"/>
    </xf>
    <xf numFmtId="0" fontId="39" fillId="0" borderId="18" xfId="0" applyFont="1" applyBorder="1" applyAlignment="1" applyProtection="1">
      <alignment horizontal="center" vertical="center" wrapText="1"/>
    </xf>
    <xf numFmtId="0" fontId="51" fillId="43" borderId="12" xfId="0" applyFont="1" applyFill="1" applyBorder="1" applyAlignment="1" applyProtection="1">
      <alignment horizontal="center" vertical="center" wrapText="1"/>
    </xf>
    <xf numFmtId="0" fontId="51" fillId="43" borderId="13" xfId="0" applyFont="1" applyFill="1" applyBorder="1" applyAlignment="1" applyProtection="1">
      <alignment horizontal="center" vertical="center" wrapText="1"/>
    </xf>
    <xf numFmtId="0" fontId="51" fillId="43" borderId="25" xfId="0" applyFont="1" applyFill="1" applyBorder="1" applyAlignment="1" applyProtection="1">
      <alignment horizontal="center" vertical="center" wrapText="1"/>
    </xf>
    <xf numFmtId="0" fontId="51" fillId="43" borderId="0" xfId="0" applyFont="1" applyFill="1" applyBorder="1" applyAlignment="1" applyProtection="1">
      <alignment horizontal="center" vertical="center" wrapText="1"/>
    </xf>
    <xf numFmtId="0" fontId="51" fillId="43" borderId="23" xfId="0" applyFont="1" applyFill="1" applyBorder="1" applyAlignment="1" applyProtection="1">
      <alignment horizontal="center" vertical="center" wrapText="1"/>
    </xf>
    <xf numFmtId="0" fontId="51" fillId="43" borderId="18" xfId="0" applyFont="1" applyFill="1" applyBorder="1" applyAlignment="1" applyProtection="1">
      <alignment horizontal="center" vertical="center" wrapText="1"/>
    </xf>
    <xf numFmtId="0" fontId="51" fillId="43" borderId="56" xfId="0" applyFont="1" applyFill="1" applyBorder="1" applyAlignment="1" applyProtection="1">
      <alignment horizontal="center" vertical="center" wrapText="1"/>
    </xf>
    <xf numFmtId="0" fontId="51" fillId="43" borderId="15" xfId="0" applyFont="1" applyFill="1" applyBorder="1" applyAlignment="1" applyProtection="1">
      <alignment horizontal="center" vertical="center" wrapText="1"/>
    </xf>
    <xf numFmtId="0" fontId="51" fillId="43" borderId="17" xfId="0" applyFont="1" applyFill="1" applyBorder="1" applyAlignment="1" applyProtection="1">
      <alignment horizontal="center" vertical="center" wrapText="1"/>
    </xf>
    <xf numFmtId="0" fontId="39" fillId="0" borderId="34" xfId="0" applyFont="1" applyBorder="1" applyAlignment="1" applyProtection="1">
      <alignment horizontal="center" vertical="center" wrapText="1"/>
    </xf>
    <xf numFmtId="0" fontId="39" fillId="0" borderId="35" xfId="0" applyFont="1" applyBorder="1" applyAlignment="1" applyProtection="1">
      <alignment horizontal="center" vertical="center" wrapText="1"/>
    </xf>
    <xf numFmtId="0" fontId="49" fillId="33" borderId="49" xfId="0" applyFont="1" applyFill="1" applyBorder="1" applyAlignment="1" applyProtection="1">
      <alignment horizontal="center" vertical="center"/>
    </xf>
    <xf numFmtId="0" fontId="49" fillId="40" borderId="32" xfId="0" applyFont="1" applyFill="1" applyBorder="1" applyAlignment="1" applyProtection="1">
      <alignment horizontal="center" vertical="center" wrapText="1"/>
    </xf>
    <xf numFmtId="0" fontId="49" fillId="40" borderId="0" xfId="0" applyFont="1" applyFill="1" applyAlignment="1" applyProtection="1">
      <alignment horizontal="center" vertical="center" wrapText="1"/>
    </xf>
    <xf numFmtId="0" fontId="49" fillId="40" borderId="32" xfId="134" applyFont="1" applyFill="1" applyBorder="1" applyAlignment="1" applyProtection="1">
      <alignment horizontal="center" vertical="center"/>
    </xf>
    <xf numFmtId="0" fontId="49" fillId="40" borderId="0" xfId="134" applyFont="1" applyFill="1" applyAlignment="1" applyProtection="1">
      <alignment horizontal="center" vertical="center"/>
    </xf>
    <xf numFmtId="0" fontId="49" fillId="40" borderId="0" xfId="0" applyFont="1" applyFill="1" applyBorder="1" applyAlignment="1" applyProtection="1">
      <alignment horizontal="center" vertical="center" wrapText="1"/>
    </xf>
    <xf numFmtId="0" fontId="49" fillId="40" borderId="66" xfId="0" applyFont="1" applyFill="1" applyBorder="1" applyAlignment="1" applyProtection="1">
      <alignment horizontal="center" vertical="center" wrapText="1"/>
    </xf>
    <xf numFmtId="0" fontId="49" fillId="40" borderId="13" xfId="0" applyFont="1" applyFill="1" applyBorder="1" applyAlignment="1" applyProtection="1">
      <alignment horizontal="center" vertical="center" wrapText="1"/>
    </xf>
    <xf numFmtId="0" fontId="89" fillId="25" borderId="55" xfId="0" applyFont="1" applyFill="1" applyBorder="1" applyAlignment="1" applyProtection="1">
      <alignment horizontal="center" vertical="center" wrapText="1"/>
    </xf>
    <xf numFmtId="0" fontId="80" fillId="25" borderId="55" xfId="0" applyFont="1" applyFill="1" applyBorder="1" applyAlignment="1" applyProtection="1">
      <alignment horizontal="center" vertical="center" wrapText="1"/>
    </xf>
    <xf numFmtId="0" fontId="50" fillId="32" borderId="66" xfId="0" applyFont="1" applyFill="1" applyBorder="1" applyAlignment="1" applyProtection="1">
      <alignment vertical="center" wrapText="1"/>
    </xf>
    <xf numFmtId="0" fontId="50" fillId="32" borderId="13" xfId="0" applyFont="1" applyFill="1" applyBorder="1" applyAlignment="1" applyProtection="1">
      <alignment vertical="center" wrapText="1"/>
    </xf>
    <xf numFmtId="0" fontId="39" fillId="32" borderId="14" xfId="0" applyFont="1" applyFill="1" applyBorder="1" applyAlignment="1" applyProtection="1">
      <alignment vertical="center"/>
    </xf>
    <xf numFmtId="0" fontId="50" fillId="32" borderId="32" xfId="0" applyFont="1" applyFill="1" applyBorder="1" applyAlignment="1" applyProtection="1">
      <alignment vertical="center" wrapText="1"/>
    </xf>
    <xf numFmtId="0" fontId="50" fillId="32" borderId="0" xfId="0" applyFont="1" applyFill="1" applyBorder="1" applyAlignment="1" applyProtection="1">
      <alignment vertical="center" wrapText="1"/>
    </xf>
    <xf numFmtId="0" fontId="39" fillId="32" borderId="16" xfId="0" applyFont="1" applyFill="1" applyBorder="1" applyAlignment="1" applyProtection="1">
      <alignment vertical="center"/>
    </xf>
    <xf numFmtId="0" fontId="50" fillId="32" borderId="42" xfId="0" applyFont="1" applyFill="1" applyBorder="1" applyAlignment="1" applyProtection="1">
      <alignment vertical="center" wrapText="1"/>
    </xf>
    <xf numFmtId="0" fontId="50" fillId="32" borderId="18" xfId="0" applyFont="1" applyFill="1" applyBorder="1" applyAlignment="1" applyProtection="1">
      <alignment vertical="center" wrapText="1"/>
    </xf>
    <xf numFmtId="0" fontId="39" fillId="32" borderId="20" xfId="0" applyFont="1" applyFill="1" applyBorder="1" applyAlignment="1" applyProtection="1">
      <alignment vertical="center"/>
    </xf>
    <xf numFmtId="3" fontId="39" fillId="33" borderId="10" xfId="0" applyNumberFormat="1" applyFont="1" applyFill="1" applyBorder="1" applyAlignment="1" applyProtection="1">
      <alignment horizontal="right" vertical="center"/>
      <protection locked="0"/>
    </xf>
    <xf numFmtId="3" fontId="39" fillId="0" borderId="54" xfId="0" applyNumberFormat="1" applyFont="1" applyBorder="1" applyAlignment="1" applyProtection="1">
      <alignment horizontal="right" vertical="center"/>
      <protection locked="0"/>
    </xf>
    <xf numFmtId="3" fontId="39" fillId="35" borderId="10" xfId="0" applyNumberFormat="1" applyFont="1" applyFill="1" applyBorder="1" applyAlignment="1" applyProtection="1">
      <alignment vertical="center"/>
      <protection locked="0"/>
    </xf>
    <xf numFmtId="3" fontId="39" fillId="35" borderId="54" xfId="0" applyNumberFormat="1" applyFont="1" applyFill="1" applyBorder="1" applyAlignment="1" applyProtection="1">
      <alignment vertical="center"/>
      <protection locked="0"/>
    </xf>
    <xf numFmtId="3" fontId="39" fillId="35" borderId="19" xfId="0" applyNumberFormat="1" applyFont="1" applyFill="1" applyBorder="1" applyAlignment="1" applyProtection="1">
      <alignment vertical="center"/>
      <protection locked="0"/>
    </xf>
    <xf numFmtId="3" fontId="39" fillId="33" borderId="36" xfId="0" applyNumberFormat="1" applyFont="1" applyFill="1" applyBorder="1" applyAlignment="1" applyProtection="1">
      <alignment horizontal="right" vertical="center"/>
      <protection locked="0"/>
    </xf>
    <xf numFmtId="3" fontId="39" fillId="0" borderId="38" xfId="0" applyNumberFormat="1" applyFont="1" applyBorder="1" applyAlignment="1" applyProtection="1">
      <alignment horizontal="right" vertical="center"/>
      <protection locked="0"/>
    </xf>
    <xf numFmtId="0" fontId="39" fillId="33" borderId="19" xfId="0" applyFont="1" applyFill="1" applyBorder="1" applyAlignment="1" applyProtection="1">
      <alignment horizontal="center" vertical="center" wrapText="1"/>
      <protection locked="0"/>
    </xf>
    <xf numFmtId="0" fontId="39" fillId="0" borderId="11" xfId="0" applyFont="1" applyBorder="1" applyAlignment="1" applyProtection="1">
      <alignment horizontal="center" vertical="center"/>
      <protection locked="0"/>
    </xf>
    <xf numFmtId="0" fontId="51" fillId="35" borderId="60" xfId="0" applyFont="1" applyFill="1" applyBorder="1" applyAlignment="1" applyProtection="1">
      <alignment horizontal="center" vertical="center"/>
    </xf>
    <xf numFmtId="0" fontId="39" fillId="35" borderId="11" xfId="0" applyFont="1" applyFill="1" applyBorder="1" applyAlignment="1" applyProtection="1">
      <alignment vertical="center"/>
    </xf>
    <xf numFmtId="0" fontId="39" fillId="33" borderId="69" xfId="0" applyFont="1" applyFill="1" applyBorder="1" applyAlignment="1" applyProtection="1">
      <alignment horizontal="center" vertical="center" wrapText="1"/>
      <protection locked="0"/>
    </xf>
    <xf numFmtId="0" fontId="39" fillId="33" borderId="53" xfId="0" applyFont="1" applyFill="1" applyBorder="1" applyAlignment="1" applyProtection="1">
      <alignment horizontal="center" vertical="center" wrapText="1"/>
      <protection locked="0"/>
    </xf>
    <xf numFmtId="0" fontId="39" fillId="0" borderId="56" xfId="0" applyFont="1" applyBorder="1" applyAlignment="1" applyProtection="1">
      <alignment horizontal="center" vertical="center" wrapText="1"/>
    </xf>
    <xf numFmtId="0" fontId="50" fillId="33" borderId="49" xfId="0" applyFont="1" applyFill="1" applyBorder="1" applyAlignment="1" applyProtection="1">
      <alignment horizontal="center" vertical="center" wrapText="1"/>
    </xf>
    <xf numFmtId="0" fontId="39" fillId="0" borderId="49" xfId="0" applyFont="1" applyBorder="1" applyAlignment="1">
      <alignment vertical="center" wrapText="1"/>
    </xf>
    <xf numFmtId="0" fontId="39" fillId="0" borderId="19" xfId="0" applyFont="1" applyBorder="1" applyAlignment="1" applyProtection="1">
      <alignment horizontal="center" vertical="center" wrapText="1"/>
    </xf>
    <xf numFmtId="0" fontId="39" fillId="0" borderId="54" xfId="0" applyFont="1" applyBorder="1" applyAlignment="1" applyProtection="1">
      <alignment horizontal="center" vertical="center" wrapText="1"/>
    </xf>
    <xf numFmtId="3" fontId="39" fillId="33" borderId="45" xfId="0" applyNumberFormat="1" applyFont="1" applyFill="1" applyBorder="1" applyAlignment="1" applyProtection="1">
      <alignment horizontal="center" vertical="center"/>
      <protection locked="0"/>
    </xf>
    <xf numFmtId="3" fontId="39" fillId="0" borderId="70" xfId="0" applyNumberFormat="1" applyFont="1" applyBorder="1" applyAlignment="1" applyProtection="1">
      <alignment horizontal="center" vertical="center"/>
      <protection locked="0"/>
    </xf>
    <xf numFmtId="0" fontId="51" fillId="25" borderId="42" xfId="0" applyFont="1" applyFill="1" applyBorder="1" applyAlignment="1" applyProtection="1">
      <alignment horizontal="center" vertical="center" wrapText="1"/>
    </xf>
    <xf numFmtId="0" fontId="39" fillId="0" borderId="19" xfId="0" applyFont="1" applyBorder="1" applyAlignment="1" applyProtection="1">
      <alignment vertical="center" wrapText="1"/>
    </xf>
    <xf numFmtId="0" fontId="39" fillId="0" borderId="54" xfId="0" applyFont="1" applyBorder="1" applyAlignment="1" applyProtection="1">
      <alignment vertical="center" wrapText="1"/>
    </xf>
    <xf numFmtId="0" fontId="48" fillId="33" borderId="19" xfId="134" applyFont="1" applyFill="1" applyBorder="1" applyAlignment="1" applyProtection="1">
      <alignment horizontal="center" vertical="center"/>
    </xf>
    <xf numFmtId="0" fontId="39" fillId="0" borderId="19" xfId="0" applyFont="1" applyBorder="1" applyAlignment="1" applyProtection="1">
      <alignment horizontal="center" vertical="center"/>
    </xf>
    <xf numFmtId="0" fontId="51" fillId="35" borderId="19" xfId="0" applyFont="1" applyFill="1" applyBorder="1" applyAlignment="1" applyProtection="1">
      <alignment horizontal="center" vertical="center"/>
    </xf>
    <xf numFmtId="0" fontId="39" fillId="35" borderId="19" xfId="0" applyFont="1" applyFill="1" applyBorder="1" applyAlignment="1" applyProtection="1">
      <alignment vertical="center"/>
    </xf>
    <xf numFmtId="0" fontId="39" fillId="33" borderId="73" xfId="0" applyFont="1" applyFill="1" applyBorder="1" applyAlignment="1" applyProtection="1">
      <alignment horizontal="center" vertical="center" wrapText="1"/>
      <protection locked="0"/>
    </xf>
    <xf numFmtId="0" fontId="39" fillId="0" borderId="54" xfId="0" applyFont="1" applyBorder="1" applyAlignment="1" applyProtection="1">
      <alignment horizontal="center" vertical="center"/>
    </xf>
    <xf numFmtId="0" fontId="48" fillId="33" borderId="30" xfId="134" applyFont="1" applyFill="1" applyBorder="1" applyAlignment="1" applyProtection="1">
      <alignment horizontal="center" vertical="center"/>
    </xf>
    <xf numFmtId="0" fontId="39" fillId="0" borderId="30" xfId="0" applyFont="1" applyBorder="1" applyAlignment="1" applyProtection="1">
      <alignment horizontal="center" vertical="center"/>
    </xf>
    <xf numFmtId="0" fontId="59" fillId="32" borderId="10" xfId="0" applyFont="1" applyFill="1" applyBorder="1" applyAlignment="1" applyProtection="1">
      <alignment vertical="center" wrapText="1"/>
    </xf>
    <xf numFmtId="0" fontId="59" fillId="0" borderId="19" xfId="0" applyFont="1" applyBorder="1" applyAlignment="1" applyProtection="1">
      <alignment vertical="center" wrapText="1"/>
    </xf>
    <xf numFmtId="0" fontId="59" fillId="0" borderId="54" xfId="0" applyFont="1" applyBorder="1" applyAlignment="1" applyProtection="1">
      <alignment vertical="center" wrapText="1"/>
    </xf>
    <xf numFmtId="0" fontId="39" fillId="0" borderId="30" xfId="0" applyFont="1" applyBorder="1" applyAlignment="1">
      <alignment horizontal="center" vertical="center"/>
    </xf>
    <xf numFmtId="0" fontId="50" fillId="0" borderId="49" xfId="0" applyFont="1" applyBorder="1" applyAlignment="1">
      <alignment horizontal="center" vertical="center"/>
    </xf>
    <xf numFmtId="0" fontId="39" fillId="0" borderId="47" xfId="0" applyFont="1" applyFill="1" applyBorder="1" applyAlignment="1" applyProtection="1">
      <alignment vertical="center" wrapText="1"/>
    </xf>
    <xf numFmtId="0" fontId="39" fillId="0" borderId="75" xfId="0" applyFont="1" applyBorder="1" applyAlignment="1">
      <alignment vertical="center" wrapText="1"/>
    </xf>
    <xf numFmtId="0" fontId="51" fillId="35" borderId="11" xfId="0" applyFont="1" applyFill="1" applyBorder="1" applyAlignment="1" applyProtection="1">
      <alignment horizontal="center" vertical="center"/>
    </xf>
    <xf numFmtId="0" fontId="39" fillId="35" borderId="36" xfId="0" applyFont="1" applyFill="1" applyBorder="1" applyAlignment="1">
      <alignment vertical="center"/>
    </xf>
    <xf numFmtId="0" fontId="39" fillId="33" borderId="69" xfId="0" applyFont="1" applyFill="1" applyBorder="1" applyAlignment="1" applyProtection="1">
      <alignment horizontal="center" vertical="center"/>
      <protection locked="0"/>
    </xf>
    <xf numFmtId="0" fontId="39" fillId="33" borderId="53" xfId="0" applyFont="1" applyFill="1" applyBorder="1" applyAlignment="1" applyProtection="1">
      <alignment horizontal="center" vertical="center"/>
      <protection locked="0"/>
    </xf>
    <xf numFmtId="0" fontId="39" fillId="0" borderId="19" xfId="0" applyFont="1" applyBorder="1" applyAlignment="1">
      <alignment horizontal="center" vertical="center"/>
    </xf>
    <xf numFmtId="0" fontId="39" fillId="0" borderId="50" xfId="0" applyFont="1" applyBorder="1" applyAlignment="1">
      <alignment vertical="center" wrapText="1"/>
    </xf>
    <xf numFmtId="0" fontId="51" fillId="35" borderId="59" xfId="0" applyFont="1" applyFill="1" applyBorder="1" applyAlignment="1" applyProtection="1">
      <alignment horizontal="center" vertical="center"/>
    </xf>
    <xf numFmtId="0" fontId="39" fillId="0" borderId="60" xfId="0" applyFont="1" applyBorder="1" applyAlignment="1" applyProtection="1">
      <alignment horizontal="center" vertical="center" wrapText="1"/>
      <protection locked="0"/>
    </xf>
    <xf numFmtId="0" fontId="39" fillId="38" borderId="74" xfId="0" applyFont="1" applyFill="1" applyBorder="1" applyAlignment="1" applyProtection="1">
      <alignment vertical="center"/>
    </xf>
    <xf numFmtId="0" fontId="39" fillId="38" borderId="67" xfId="0" applyFont="1" applyFill="1" applyBorder="1" applyAlignment="1" applyProtection="1">
      <alignment vertical="center"/>
    </xf>
    <xf numFmtId="0" fontId="39" fillId="38" borderId="39" xfId="0" applyFont="1" applyFill="1" applyBorder="1" applyAlignment="1" applyProtection="1">
      <alignment vertical="center"/>
    </xf>
    <xf numFmtId="3" fontId="41" fillId="35" borderId="53" xfId="0" applyNumberFormat="1" applyFont="1" applyFill="1" applyBorder="1" applyAlignment="1" applyProtection="1">
      <alignment vertical="center" wrapText="1"/>
    </xf>
    <xf numFmtId="3" fontId="39" fillId="35" borderId="41" xfId="0" applyNumberFormat="1" applyFont="1" applyFill="1" applyBorder="1" applyAlignment="1" applyProtection="1">
      <alignment vertical="center" wrapText="1"/>
    </xf>
    <xf numFmtId="0" fontId="51" fillId="35" borderId="10" xfId="0" applyFont="1" applyFill="1" applyBorder="1" applyAlignment="1" applyProtection="1">
      <alignment horizontal="center" vertical="center"/>
    </xf>
    <xf numFmtId="3" fontId="41" fillId="35" borderId="44" xfId="179" applyNumberFormat="1" applyFont="1" applyFill="1" applyBorder="1" applyAlignment="1" applyProtection="1">
      <alignment vertical="center" wrapText="1"/>
    </xf>
    <xf numFmtId="3" fontId="39" fillId="35" borderId="41" xfId="179" applyNumberFormat="1" applyFont="1" applyFill="1" applyBorder="1" applyAlignment="1" applyProtection="1">
      <alignment vertical="center" wrapText="1"/>
    </xf>
    <xf numFmtId="3" fontId="41" fillId="35" borderId="44" xfId="0" applyNumberFormat="1" applyFont="1" applyFill="1" applyBorder="1" applyAlignment="1" applyProtection="1">
      <alignment vertical="center" wrapText="1"/>
    </xf>
    <xf numFmtId="0" fontId="39" fillId="0" borderId="18" xfId="0" applyFont="1" applyBorder="1" applyAlignment="1" applyProtection="1">
      <alignment vertical="center" wrapText="1"/>
    </xf>
    <xf numFmtId="0" fontId="39" fillId="0" borderId="56" xfId="0" applyFont="1" applyBorder="1" applyAlignment="1" applyProtection="1">
      <alignment vertical="center" wrapText="1"/>
    </xf>
    <xf numFmtId="0" fontId="59" fillId="32" borderId="60" xfId="0" applyFont="1" applyFill="1" applyBorder="1" applyAlignment="1" applyProtection="1">
      <alignment vertical="center" wrapText="1"/>
    </xf>
    <xf numFmtId="0" fontId="87" fillId="52" borderId="55" xfId="134" applyFont="1" applyFill="1" applyBorder="1" applyAlignment="1" applyProtection="1">
      <alignment horizontal="center" vertical="center"/>
    </xf>
    <xf numFmtId="0" fontId="87" fillId="52" borderId="21" xfId="134" applyFont="1" applyFill="1" applyBorder="1" applyAlignment="1" applyProtection="1">
      <alignment horizontal="center" vertical="center"/>
    </xf>
    <xf numFmtId="0" fontId="84" fillId="25" borderId="68" xfId="0" applyFont="1" applyFill="1" applyBorder="1" applyAlignment="1" applyProtection="1">
      <alignment horizontal="left" vertical="center" wrapText="1"/>
    </xf>
    <xf numFmtId="0" fontId="84" fillId="25" borderId="55" xfId="0" applyFont="1" applyFill="1" applyBorder="1" applyAlignment="1" applyProtection="1">
      <alignment horizontal="left" vertical="center" wrapText="1"/>
    </xf>
    <xf numFmtId="0" fontId="87" fillId="52" borderId="55" xfId="134" applyFont="1" applyFill="1" applyBorder="1" applyAlignment="1" applyProtection="1">
      <alignment horizontal="center" vertical="center" wrapText="1"/>
    </xf>
    <xf numFmtId="0" fontId="87" fillId="52" borderId="21" xfId="134" applyFont="1" applyFill="1" applyBorder="1" applyAlignment="1" applyProtection="1">
      <alignment horizontal="center" vertical="center" wrapText="1"/>
    </xf>
    <xf numFmtId="0" fontId="39" fillId="0" borderId="19" xfId="0" applyFont="1" applyBorder="1" applyAlignment="1">
      <alignment vertical="center" wrapText="1"/>
    </xf>
    <xf numFmtId="0" fontId="39" fillId="0" borderId="54" xfId="0" applyFont="1" applyBorder="1" applyAlignment="1">
      <alignment vertical="center" wrapText="1"/>
    </xf>
    <xf numFmtId="0" fontId="72" fillId="25" borderId="71" xfId="134" applyFont="1" applyFill="1" applyBorder="1" applyAlignment="1" applyProtection="1">
      <alignment vertical="center"/>
    </xf>
    <xf numFmtId="0" fontId="72" fillId="0" borderId="30" xfId="134" applyFont="1" applyBorder="1" applyAlignment="1" applyProtection="1">
      <alignment vertical="center"/>
    </xf>
    <xf numFmtId="0" fontId="47" fillId="0" borderId="30" xfId="0" applyFont="1" applyBorder="1" applyAlignment="1">
      <alignment vertical="center"/>
    </xf>
    <xf numFmtId="0" fontId="39" fillId="0" borderId="19" xfId="0" applyFont="1" applyBorder="1" applyAlignment="1">
      <alignment horizontal="center" vertical="center" wrapText="1"/>
    </xf>
    <xf numFmtId="0" fontId="39" fillId="0" borderId="54" xfId="0" applyFont="1" applyBorder="1" applyAlignment="1">
      <alignment horizontal="center" vertical="center" wrapText="1"/>
    </xf>
    <xf numFmtId="0" fontId="87" fillId="25" borderId="55" xfId="134" applyFont="1" applyFill="1" applyBorder="1" applyAlignment="1" applyProtection="1">
      <alignment horizontal="center" vertical="center" wrapText="1"/>
    </xf>
    <xf numFmtId="0" fontId="87" fillId="25" borderId="21" xfId="134" applyFont="1" applyFill="1" applyBorder="1" applyAlignment="1" applyProtection="1">
      <alignment horizontal="center" vertical="center" wrapText="1"/>
    </xf>
    <xf numFmtId="0" fontId="39" fillId="0" borderId="18" xfId="0" applyFont="1" applyBorder="1" applyAlignment="1" applyProtection="1">
      <alignment vertical="center"/>
    </xf>
    <xf numFmtId="0" fontId="39" fillId="0" borderId="56" xfId="0" applyFont="1" applyBorder="1" applyAlignment="1" applyProtection="1">
      <alignment vertical="center"/>
    </xf>
    <xf numFmtId="0" fontId="72" fillId="25" borderId="68" xfId="0" applyFont="1" applyFill="1" applyBorder="1" applyAlignment="1" applyProtection="1">
      <alignment horizontal="left" vertical="center"/>
    </xf>
    <xf numFmtId="0" fontId="72" fillId="25" borderId="55" xfId="0" applyFont="1" applyFill="1" applyBorder="1" applyAlignment="1" applyProtection="1">
      <alignment horizontal="left" vertical="center"/>
    </xf>
    <xf numFmtId="0" fontId="39" fillId="35" borderId="54" xfId="0" applyFont="1" applyFill="1" applyBorder="1" applyAlignment="1" applyProtection="1">
      <alignment vertical="center"/>
      <protection locked="0"/>
    </xf>
    <xf numFmtId="0" fontId="51" fillId="25" borderId="0" xfId="0" applyFont="1" applyFill="1" applyBorder="1" applyAlignment="1" applyProtection="1">
      <alignment horizontal="center" vertical="center" wrapText="1"/>
    </xf>
    <xf numFmtId="0" fontId="39" fillId="0" borderId="0" xfId="0" applyFont="1" applyBorder="1" applyAlignment="1" applyProtection="1">
      <alignment horizontal="center" vertical="center" wrapText="1"/>
    </xf>
    <xf numFmtId="0" fontId="39" fillId="0" borderId="23" xfId="0" applyFont="1" applyBorder="1" applyAlignment="1" applyProtection="1">
      <alignment horizontal="center" vertical="center" wrapText="1"/>
    </xf>
    <xf numFmtId="0" fontId="51" fillId="25" borderId="66" xfId="0" applyFont="1" applyFill="1" applyBorder="1" applyAlignment="1" applyProtection="1">
      <alignment horizontal="center" vertical="center" wrapText="1"/>
    </xf>
    <xf numFmtId="0" fontId="39" fillId="0" borderId="13" xfId="0" applyFont="1" applyBorder="1" applyAlignment="1" applyProtection="1">
      <alignment horizontal="center" vertical="center" wrapText="1"/>
    </xf>
    <xf numFmtId="0" fontId="39" fillId="0" borderId="25" xfId="0" applyFont="1" applyBorder="1" applyAlignment="1" applyProtection="1">
      <alignment horizontal="center" vertical="center" wrapText="1"/>
    </xf>
    <xf numFmtId="0" fontId="49" fillId="33" borderId="0" xfId="0" applyFont="1" applyFill="1" applyAlignment="1" applyProtection="1">
      <alignment horizontal="center" vertical="center"/>
    </xf>
    <xf numFmtId="0" fontId="72" fillId="25" borderId="55" xfId="0" applyFont="1" applyFill="1" applyBorder="1" applyAlignment="1" applyProtection="1">
      <alignment horizontal="center" vertical="center"/>
    </xf>
    <xf numFmtId="0" fontId="80" fillId="25" borderId="55" xfId="0" applyFont="1" applyFill="1" applyBorder="1" applyAlignment="1" applyProtection="1">
      <alignment horizontal="center" vertical="center"/>
    </xf>
    <xf numFmtId="0" fontId="39" fillId="0" borderId="13" xfId="0" applyFont="1" applyBorder="1" applyAlignment="1" applyProtection="1">
      <alignment vertical="center" wrapText="1"/>
    </xf>
    <xf numFmtId="0" fontId="39" fillId="0" borderId="25" xfId="0" applyFont="1" applyBorder="1" applyAlignment="1" applyProtection="1">
      <alignment vertical="center" wrapText="1"/>
    </xf>
    <xf numFmtId="0" fontId="50" fillId="33" borderId="0" xfId="0" applyFont="1" applyFill="1" applyBorder="1" applyAlignment="1" applyProtection="1">
      <alignment horizontal="center" vertical="center" wrapText="1"/>
    </xf>
    <xf numFmtId="0" fontId="50" fillId="0" borderId="0" xfId="0" applyFont="1" applyBorder="1" applyAlignment="1">
      <alignment horizontal="center" vertical="center"/>
    </xf>
    <xf numFmtId="0" fontId="41" fillId="40" borderId="0" xfId="0" applyFont="1" applyFill="1" applyBorder="1" applyAlignment="1" applyProtection="1">
      <alignment horizontal="left" vertical="center"/>
    </xf>
    <xf numFmtId="0" fontId="39" fillId="0" borderId="0" xfId="0" applyFont="1" applyBorder="1" applyAlignment="1" applyProtection="1">
      <alignment vertical="center"/>
    </xf>
    <xf numFmtId="0" fontId="72" fillId="25" borderId="65" xfId="134" applyFont="1" applyFill="1" applyBorder="1" applyAlignment="1" applyProtection="1">
      <alignment vertical="center"/>
    </xf>
    <xf numFmtId="0" fontId="87" fillId="0" borderId="55" xfId="134" applyFont="1" applyBorder="1" applyAlignment="1" applyProtection="1">
      <alignment vertical="center"/>
    </xf>
    <xf numFmtId="0" fontId="47" fillId="0" borderId="55" xfId="0" applyFont="1" applyBorder="1" applyAlignment="1">
      <alignment vertical="center"/>
    </xf>
    <xf numFmtId="0" fontId="48" fillId="33" borderId="0" xfId="134" applyFont="1" applyFill="1" applyBorder="1" applyAlignment="1" applyProtection="1">
      <alignment horizontal="center" vertical="center"/>
    </xf>
    <xf numFmtId="0" fontId="39" fillId="0" borderId="0" xfId="0" applyFont="1" applyBorder="1" applyAlignment="1" applyProtection="1">
      <alignment horizontal="center" vertical="center"/>
    </xf>
    <xf numFmtId="0" fontId="72" fillId="25" borderId="65" xfId="0" applyFont="1" applyFill="1" applyBorder="1" applyAlignment="1" applyProtection="1">
      <alignment horizontal="left" vertical="center"/>
    </xf>
    <xf numFmtId="0" fontId="72" fillId="25" borderId="65" xfId="0" applyFont="1" applyFill="1" applyBorder="1" applyAlignment="1" applyProtection="1">
      <alignment horizontal="left" vertical="center" wrapText="1"/>
    </xf>
    <xf numFmtId="0" fontId="72" fillId="25" borderId="55" xfId="0" applyFont="1" applyFill="1" applyBorder="1" applyAlignment="1" applyProtection="1">
      <alignment horizontal="left" vertical="center" wrapText="1"/>
    </xf>
    <xf numFmtId="0" fontId="49" fillId="33" borderId="0" xfId="0" applyFont="1" applyFill="1" applyAlignment="1" applyProtection="1">
      <alignment horizontal="center" vertical="center" wrapText="1"/>
    </xf>
    <xf numFmtId="0" fontId="39" fillId="0" borderId="13" xfId="0" applyFont="1" applyBorder="1" applyAlignment="1" applyProtection="1">
      <alignment vertical="center"/>
    </xf>
    <xf numFmtId="0" fontId="39" fillId="0" borderId="25" xfId="0" applyFont="1" applyBorder="1" applyAlignment="1" applyProtection="1">
      <alignment vertical="center"/>
    </xf>
    <xf numFmtId="0" fontId="49" fillId="33" borderId="0" xfId="0" applyFont="1" applyFill="1" applyAlignment="1" applyProtection="1">
      <alignment horizontal="center"/>
    </xf>
    <xf numFmtId="0" fontId="49" fillId="33" borderId="32" xfId="0" applyFont="1" applyFill="1" applyBorder="1" applyAlignment="1" applyProtection="1">
      <alignment horizontal="center"/>
    </xf>
    <xf numFmtId="0" fontId="39" fillId="25" borderId="19" xfId="0" applyFont="1" applyFill="1" applyBorder="1" applyAlignment="1">
      <alignment vertical="center" wrapText="1"/>
    </xf>
    <xf numFmtId="0" fontId="39" fillId="25" borderId="11" xfId="0" applyFont="1" applyFill="1" applyBorder="1" applyAlignment="1">
      <alignment vertical="center" wrapText="1"/>
    </xf>
    <xf numFmtId="0" fontId="48" fillId="33" borderId="18" xfId="134" applyFont="1" applyFill="1" applyBorder="1" applyAlignment="1" applyProtection="1">
      <alignment horizontal="center" vertical="center"/>
    </xf>
    <xf numFmtId="0" fontId="48" fillId="0" borderId="18" xfId="134" applyFont="1" applyBorder="1" applyAlignment="1" applyProtection="1">
      <alignment horizontal="center" vertical="center"/>
    </xf>
    <xf numFmtId="0" fontId="48" fillId="33" borderId="13" xfId="134" applyFont="1" applyFill="1" applyBorder="1" applyAlignment="1" applyProtection="1">
      <alignment horizontal="center" vertical="center"/>
    </xf>
    <xf numFmtId="0" fontId="39" fillId="0" borderId="13" xfId="0" applyFont="1" applyBorder="1" applyAlignment="1" applyProtection="1">
      <alignment horizontal="center" vertical="center"/>
    </xf>
    <xf numFmtId="0" fontId="39" fillId="0" borderId="25" xfId="0" applyFont="1" applyBorder="1" applyAlignment="1" applyProtection="1">
      <alignment horizontal="center" vertical="center"/>
    </xf>
    <xf numFmtId="0" fontId="39" fillId="33" borderId="13" xfId="0" applyFont="1" applyFill="1" applyBorder="1" applyAlignment="1" applyProtection="1">
      <alignment horizontal="center" vertical="center" wrapText="1"/>
      <protection locked="0"/>
    </xf>
    <xf numFmtId="0" fontId="39" fillId="0" borderId="14" xfId="0" applyFont="1" applyBorder="1" applyAlignment="1" applyProtection="1">
      <alignment horizontal="center" vertical="center"/>
      <protection locked="0"/>
    </xf>
    <xf numFmtId="0" fontId="39" fillId="35" borderId="36" xfId="0" applyFont="1" applyFill="1" applyBorder="1" applyAlignment="1" applyProtection="1">
      <alignment vertical="center"/>
    </xf>
    <xf numFmtId="0" fontId="51" fillId="25" borderId="37" xfId="0" applyFont="1" applyFill="1" applyBorder="1" applyAlignment="1" applyProtection="1">
      <alignment horizontal="center" vertical="center" wrapText="1"/>
    </xf>
    <xf numFmtId="0" fontId="39" fillId="0" borderId="37" xfId="0" applyFont="1" applyBorder="1" applyAlignment="1" applyProtection="1">
      <alignment horizontal="center" vertical="center" wrapText="1"/>
    </xf>
    <xf numFmtId="0" fontId="39" fillId="0" borderId="39" xfId="0" applyFont="1" applyBorder="1" applyAlignment="1" applyProtection="1">
      <alignment horizontal="center" vertical="center" wrapText="1"/>
    </xf>
    <xf numFmtId="0" fontId="51" fillId="35" borderId="20" xfId="0" applyFont="1" applyFill="1" applyBorder="1" applyAlignment="1" applyProtection="1">
      <alignment horizontal="center" vertical="center"/>
    </xf>
    <xf numFmtId="0" fontId="39" fillId="35" borderId="37" xfId="0" applyFont="1" applyFill="1" applyBorder="1" applyAlignment="1" applyProtection="1">
      <alignment vertical="center"/>
    </xf>
    <xf numFmtId="0" fontId="48" fillId="0" borderId="56" xfId="134" applyFont="1" applyBorder="1" applyAlignment="1" applyProtection="1">
      <alignment horizontal="center" vertical="center"/>
    </xf>
    <xf numFmtId="0" fontId="39" fillId="0" borderId="37" xfId="0" applyFont="1" applyBorder="1" applyAlignment="1" applyProtection="1">
      <alignment vertical="center"/>
    </xf>
    <xf numFmtId="0" fontId="39" fillId="0" borderId="39" xfId="0" applyFont="1" applyBorder="1" applyAlignment="1" applyProtection="1">
      <alignment vertical="center"/>
    </xf>
    <xf numFmtId="0" fontId="39" fillId="35" borderId="37" xfId="0" applyFont="1" applyFill="1" applyBorder="1" applyAlignment="1">
      <alignment vertical="center"/>
    </xf>
    <xf numFmtId="0" fontId="39" fillId="0" borderId="13" xfId="0" applyFont="1" applyBorder="1" applyAlignment="1">
      <alignment horizontal="center" vertical="center"/>
    </xf>
    <xf numFmtId="0" fontId="39" fillId="0" borderId="37" xfId="0" applyFont="1" applyBorder="1" applyAlignment="1" applyProtection="1">
      <alignment vertical="center" wrapText="1"/>
    </xf>
    <xf numFmtId="0" fontId="39" fillId="0" borderId="39" xfId="0" applyFont="1" applyBorder="1" applyAlignment="1" applyProtection="1">
      <alignment vertical="center" wrapText="1"/>
    </xf>
    <xf numFmtId="0" fontId="50" fillId="33" borderId="27" xfId="0" applyFont="1" applyFill="1" applyBorder="1" applyAlignment="1" applyProtection="1">
      <alignment horizontal="center" vertical="center" wrapText="1"/>
    </xf>
    <xf numFmtId="0" fontId="50" fillId="0" borderId="27" xfId="0" applyFont="1" applyBorder="1" applyAlignment="1">
      <alignment horizontal="center" vertical="center"/>
    </xf>
    <xf numFmtId="3" fontId="39" fillId="35" borderId="44" xfId="0" applyNumberFormat="1" applyFont="1" applyFill="1" applyBorder="1" applyAlignment="1" applyProtection="1">
      <alignment vertical="center" wrapText="1"/>
    </xf>
    <xf numFmtId="0" fontId="51" fillId="25" borderId="54" xfId="0" applyFont="1" applyFill="1" applyBorder="1" applyAlignment="1" applyProtection="1">
      <alignment horizontal="center" vertical="center" wrapText="1"/>
    </xf>
    <xf numFmtId="0" fontId="49" fillId="33" borderId="30" xfId="0" applyFont="1" applyFill="1" applyBorder="1" applyAlignment="1" applyProtection="1">
      <alignment horizontal="center" vertical="center"/>
    </xf>
    <xf numFmtId="0" fontId="39" fillId="0" borderId="0" xfId="0" applyFont="1" applyAlignment="1" applyProtection="1">
      <alignment horizontal="left" vertical="center"/>
    </xf>
    <xf numFmtId="0" fontId="59" fillId="32" borderId="60" xfId="0" applyFont="1" applyFill="1" applyBorder="1" applyAlignment="1" applyProtection="1">
      <alignment horizontal="left" vertical="center"/>
    </xf>
    <xf numFmtId="0" fontId="59" fillId="32" borderId="19" xfId="0" applyFont="1" applyFill="1" applyBorder="1" applyAlignment="1" applyProtection="1">
      <alignment horizontal="left" vertical="center"/>
    </xf>
    <xf numFmtId="0" fontId="39" fillId="32" borderId="19" xfId="0" applyFont="1" applyFill="1" applyBorder="1" applyAlignment="1" applyProtection="1">
      <alignment horizontal="left" vertical="center"/>
    </xf>
    <xf numFmtId="0" fontId="39" fillId="32" borderId="54" xfId="0" applyFont="1" applyFill="1" applyBorder="1" applyAlignment="1" applyProtection="1">
      <alignment horizontal="left" vertical="center"/>
    </xf>
    <xf numFmtId="0" fontId="51" fillId="25" borderId="32" xfId="0" applyFont="1" applyFill="1" applyBorder="1" applyAlignment="1" applyProtection="1">
      <alignment horizontal="center" vertical="center" wrapText="1"/>
    </xf>
    <xf numFmtId="0" fontId="51" fillId="25" borderId="23" xfId="0" applyFont="1" applyFill="1" applyBorder="1" applyAlignment="1" applyProtection="1">
      <alignment horizontal="center" vertical="center" wrapText="1"/>
    </xf>
    <xf numFmtId="0" fontId="51" fillId="26" borderId="42" xfId="0" applyFont="1" applyFill="1" applyBorder="1" applyAlignment="1" applyProtection="1">
      <alignment horizontal="center" vertical="center" wrapText="1"/>
    </xf>
    <xf numFmtId="0" fontId="39" fillId="26" borderId="18" xfId="0" applyFont="1" applyFill="1" applyBorder="1" applyAlignment="1" applyProtection="1">
      <alignment horizontal="center" vertical="center" wrapText="1"/>
    </xf>
    <xf numFmtId="0" fontId="51" fillId="27" borderId="37" xfId="0" applyFont="1" applyFill="1" applyBorder="1" applyAlignment="1" applyProtection="1">
      <alignment horizontal="center" vertical="center" wrapText="1"/>
    </xf>
    <xf numFmtId="0" fontId="90" fillId="25" borderId="12" xfId="0" applyFont="1" applyFill="1" applyBorder="1" applyAlignment="1" applyProtection="1">
      <alignment horizontal="center" vertical="center"/>
    </xf>
    <xf numFmtId="0" fontId="90" fillId="25" borderId="13" xfId="0" applyFont="1" applyFill="1" applyBorder="1" applyAlignment="1" applyProtection="1">
      <alignment horizontal="center" vertical="center"/>
    </xf>
    <xf numFmtId="0" fontId="90" fillId="25" borderId="25" xfId="0" applyFont="1" applyFill="1" applyBorder="1" applyAlignment="1" applyProtection="1">
      <alignment horizontal="center" vertical="center"/>
    </xf>
    <xf numFmtId="0" fontId="59" fillId="32" borderId="42" xfId="0" applyFont="1" applyFill="1" applyBorder="1" applyAlignment="1" applyProtection="1">
      <alignment horizontal="left" vertical="center" wrapText="1"/>
    </xf>
    <xf numFmtId="0" fontId="39" fillId="32" borderId="18" xfId="0" applyFont="1" applyFill="1" applyBorder="1" applyAlignment="1" applyProtection="1">
      <alignment horizontal="left" vertical="center" wrapText="1"/>
    </xf>
    <xf numFmtId="0" fontId="39" fillId="32" borderId="56" xfId="0" applyFont="1" applyFill="1" applyBorder="1" applyAlignment="1" applyProtection="1">
      <alignment horizontal="left" vertical="center" wrapText="1"/>
    </xf>
    <xf numFmtId="0" fontId="80" fillId="25" borderId="15" xfId="0" applyFont="1" applyFill="1" applyBorder="1" applyAlignment="1" applyProtection="1">
      <alignment horizontal="center" vertical="center"/>
    </xf>
    <xf numFmtId="0" fontId="80" fillId="25" borderId="0" xfId="0" applyFont="1" applyFill="1" applyBorder="1" applyAlignment="1" applyProtection="1">
      <alignment horizontal="center" vertical="center"/>
    </xf>
    <xf numFmtId="0" fontId="80" fillId="25" borderId="23" xfId="0" applyFont="1" applyFill="1" applyBorder="1" applyAlignment="1" applyProtection="1">
      <alignment horizontal="center" vertical="center"/>
    </xf>
    <xf numFmtId="0" fontId="51" fillId="25" borderId="42" xfId="0" applyFont="1" applyFill="1" applyBorder="1" applyAlignment="1" applyProtection="1">
      <alignment horizontal="left" vertical="center" wrapText="1"/>
    </xf>
    <xf numFmtId="0" fontId="39" fillId="25" borderId="18" xfId="0" applyFont="1" applyFill="1" applyBorder="1" applyAlignment="1" applyProtection="1">
      <alignment horizontal="left" vertical="center" wrapText="1"/>
    </xf>
    <xf numFmtId="0" fontId="39" fillId="25" borderId="20" xfId="0" applyFont="1" applyFill="1" applyBorder="1" applyAlignment="1" applyProtection="1">
      <alignment horizontal="left" vertical="center" wrapText="1"/>
    </xf>
    <xf numFmtId="0" fontId="73" fillId="32" borderId="60" xfId="134" applyFont="1" applyFill="1" applyBorder="1" applyAlignment="1" applyProtection="1">
      <alignment horizontal="left" vertical="center" wrapText="1"/>
    </xf>
    <xf numFmtId="0" fontId="48" fillId="32" borderId="19" xfId="134" applyFont="1" applyFill="1" applyBorder="1" applyAlignment="1" applyProtection="1">
      <alignment wrapText="1"/>
    </xf>
    <xf numFmtId="0" fontId="48" fillId="32" borderId="54" xfId="134" applyFont="1" applyFill="1" applyBorder="1" applyAlignment="1" applyProtection="1">
      <alignment wrapText="1"/>
    </xf>
    <xf numFmtId="0" fontId="41" fillId="33" borderId="0" xfId="0" applyFont="1" applyFill="1" applyBorder="1" applyAlignment="1" applyProtection="1">
      <alignment horizontal="left" vertical="center"/>
      <protection locked="0"/>
    </xf>
    <xf numFmtId="0" fontId="39" fillId="0" borderId="0" xfId="0" applyFont="1" applyBorder="1" applyAlignment="1" applyProtection="1">
      <alignment horizontal="left" vertical="center"/>
      <protection locked="0"/>
    </xf>
    <xf numFmtId="0" fontId="58" fillId="25" borderId="55" xfId="134" applyFont="1" applyFill="1" applyBorder="1" applyAlignment="1" applyProtection="1">
      <alignment horizontal="center" wrapText="1"/>
    </xf>
    <xf numFmtId="0" fontId="58" fillId="33" borderId="32" xfId="134" applyFont="1" applyFill="1" applyBorder="1" applyAlignment="1" applyProtection="1">
      <alignment horizontal="center" wrapText="1"/>
    </xf>
    <xf numFmtId="0" fontId="58" fillId="33" borderId="0" xfId="134" applyFont="1" applyFill="1" applyBorder="1" applyAlignment="1" applyProtection="1">
      <alignment horizontal="center" wrapText="1"/>
    </xf>
    <xf numFmtId="0" fontId="72" fillId="25" borderId="21" xfId="0" applyFont="1" applyFill="1" applyBorder="1" applyAlignment="1" applyProtection="1">
      <alignment horizontal="center" vertical="center"/>
    </xf>
    <xf numFmtId="167" fontId="39" fillId="33" borderId="10" xfId="0" applyNumberFormat="1" applyFont="1" applyFill="1" applyBorder="1" applyAlignment="1" applyProtection="1">
      <alignment horizontal="right" vertical="center" wrapText="1"/>
      <protection locked="0"/>
    </xf>
    <xf numFmtId="167" fontId="39" fillId="33" borderId="11" xfId="0" applyNumberFormat="1" applyFont="1" applyFill="1" applyBorder="1" applyAlignment="1" applyProtection="1">
      <alignment horizontal="right" vertical="center" wrapText="1"/>
      <protection locked="0"/>
    </xf>
    <xf numFmtId="0" fontId="39" fillId="33" borderId="13" xfId="0" applyFont="1" applyFill="1" applyBorder="1" applyAlignment="1" applyProtection="1">
      <alignment horizontal="left" vertical="center" wrapText="1"/>
    </xf>
    <xf numFmtId="0" fontId="39" fillId="0" borderId="14" xfId="0" applyFont="1" applyBorder="1" applyAlignment="1"/>
    <xf numFmtId="0" fontId="80" fillId="25" borderId="73" xfId="0" applyFont="1" applyFill="1" applyBorder="1" applyAlignment="1" applyProtection="1">
      <alignment horizontal="center" vertical="center"/>
    </xf>
    <xf numFmtId="0" fontId="80" fillId="25" borderId="69" xfId="0" applyFont="1" applyFill="1" applyBorder="1" applyAlignment="1" applyProtection="1">
      <alignment horizontal="center" vertical="center"/>
    </xf>
    <xf numFmtId="167" fontId="39" fillId="25" borderId="36" xfId="0" applyNumberFormat="1" applyFont="1" applyFill="1" applyBorder="1" applyAlignment="1" applyProtection="1">
      <alignment horizontal="right" vertical="center" wrapText="1"/>
    </xf>
    <xf numFmtId="167" fontId="39" fillId="25" borderId="38" xfId="0" applyNumberFormat="1" applyFont="1" applyFill="1" applyBorder="1" applyAlignment="1" applyProtection="1">
      <alignment horizontal="right" vertical="center" wrapText="1"/>
    </xf>
    <xf numFmtId="0" fontId="41" fillId="33" borderId="19" xfId="0" applyFont="1" applyFill="1" applyBorder="1" applyAlignment="1" applyProtection="1">
      <alignment horizontal="left" vertical="center" wrapText="1"/>
    </xf>
    <xf numFmtId="0" fontId="39" fillId="0" borderId="19" xfId="0" applyFont="1" applyBorder="1" applyAlignment="1">
      <alignment horizontal="left" vertical="center" wrapText="1"/>
    </xf>
    <xf numFmtId="0" fontId="39" fillId="0" borderId="11" xfId="0" applyFont="1" applyBorder="1" applyAlignment="1">
      <alignment horizontal="left" vertical="center" wrapText="1"/>
    </xf>
    <xf numFmtId="167" fontId="41" fillId="25" borderId="10" xfId="0" applyNumberFormat="1" applyFont="1" applyFill="1" applyBorder="1" applyAlignment="1" applyProtection="1">
      <alignment horizontal="right" vertical="center" wrapText="1"/>
    </xf>
    <xf numFmtId="167" fontId="41" fillId="25" borderId="11" xfId="0" applyNumberFormat="1" applyFont="1" applyFill="1" applyBorder="1" applyAlignment="1" applyProtection="1">
      <alignment horizontal="right" vertical="center" wrapText="1"/>
    </xf>
    <xf numFmtId="0" fontId="41" fillId="33" borderId="60" xfId="0" applyFont="1" applyFill="1" applyBorder="1" applyAlignment="1" applyProtection="1">
      <alignment horizontal="left" vertical="center" wrapText="1"/>
    </xf>
    <xf numFmtId="167" fontId="39" fillId="25" borderId="11" xfId="0" applyNumberFormat="1" applyFont="1" applyFill="1" applyBorder="1" applyAlignment="1" applyProtection="1">
      <alignment horizontal="right" vertical="center" wrapText="1"/>
    </xf>
    <xf numFmtId="167" fontId="41" fillId="25" borderId="36" xfId="0" applyNumberFormat="1" applyFont="1" applyFill="1" applyBorder="1" applyAlignment="1" applyProtection="1">
      <alignment horizontal="right" vertical="center" wrapText="1"/>
    </xf>
    <xf numFmtId="0" fontId="41" fillId="33" borderId="73" xfId="0" applyFont="1" applyFill="1" applyBorder="1" applyAlignment="1" applyProtection="1">
      <alignment horizontal="left" vertical="center" wrapText="1"/>
    </xf>
    <xf numFmtId="0" fontId="39" fillId="0" borderId="69" xfId="0" applyFont="1" applyBorder="1" applyAlignment="1">
      <alignment wrapText="1"/>
    </xf>
    <xf numFmtId="0" fontId="39" fillId="0" borderId="53" xfId="0" applyFont="1" applyBorder="1" applyAlignment="1">
      <alignment wrapText="1"/>
    </xf>
    <xf numFmtId="0" fontId="39" fillId="33" borderId="19" xfId="0" applyFont="1" applyFill="1" applyBorder="1" applyAlignment="1" applyProtection="1">
      <alignment horizontal="left" vertical="center" wrapText="1"/>
    </xf>
    <xf numFmtId="167" fontId="41" fillId="25" borderId="44" xfId="0" applyNumberFormat="1" applyFont="1" applyFill="1" applyBorder="1" applyAlignment="1" applyProtection="1">
      <alignment horizontal="right" vertical="center" wrapText="1"/>
    </xf>
    <xf numFmtId="167" fontId="39" fillId="25" borderId="41" xfId="0" applyNumberFormat="1" applyFont="1" applyFill="1" applyBorder="1" applyAlignment="1" applyProtection="1">
      <alignment horizontal="right" vertical="center" wrapText="1"/>
    </xf>
    <xf numFmtId="167" fontId="39" fillId="25" borderId="44" xfId="0" applyNumberFormat="1" applyFont="1" applyFill="1" applyBorder="1" applyAlignment="1" applyProtection="1">
      <alignment horizontal="right" vertical="center" wrapText="1"/>
    </xf>
    <xf numFmtId="167" fontId="41" fillId="25" borderId="45" xfId="0" applyNumberFormat="1" applyFont="1" applyFill="1" applyBorder="1" applyAlignment="1" applyProtection="1">
      <alignment horizontal="right" vertical="center" wrapText="1"/>
    </xf>
    <xf numFmtId="167" fontId="39" fillId="25" borderId="53" xfId="0" applyNumberFormat="1" applyFont="1" applyFill="1" applyBorder="1" applyAlignment="1" applyProtection="1">
      <alignment horizontal="right" vertical="center" wrapText="1"/>
    </xf>
    <xf numFmtId="0" fontId="39" fillId="0" borderId="19" xfId="0" applyFont="1" applyBorder="1" applyAlignment="1">
      <alignment wrapText="1"/>
    </xf>
    <xf numFmtId="0" fontId="39" fillId="0" borderId="11" xfId="0" applyFont="1" applyBorder="1" applyAlignment="1">
      <alignment wrapText="1"/>
    </xf>
    <xf numFmtId="167" fontId="41" fillId="25" borderId="53" xfId="0" applyNumberFormat="1" applyFont="1" applyFill="1" applyBorder="1" applyAlignment="1" applyProtection="1">
      <alignment horizontal="right" vertical="center" wrapText="1"/>
    </xf>
    <xf numFmtId="0" fontId="39" fillId="36" borderId="10" xfId="0" applyFont="1" applyFill="1" applyBorder="1" applyAlignment="1">
      <alignment horizontal="center" vertical="center" wrapText="1"/>
    </xf>
    <xf numFmtId="0" fontId="39" fillId="0" borderId="11" xfId="0" applyFont="1" applyBorder="1" applyAlignment="1">
      <alignment horizontal="center" vertical="center"/>
    </xf>
    <xf numFmtId="167" fontId="39" fillId="33" borderId="44" xfId="0" applyNumberFormat="1" applyFont="1" applyFill="1" applyBorder="1" applyAlignment="1" applyProtection="1">
      <alignment horizontal="right" vertical="center"/>
      <protection locked="0"/>
    </xf>
    <xf numFmtId="167" fontId="39" fillId="33" borderId="41" xfId="0" applyNumberFormat="1" applyFont="1" applyFill="1" applyBorder="1" applyAlignment="1" applyProtection="1">
      <alignment horizontal="right" vertical="center"/>
      <protection locked="0"/>
    </xf>
    <xf numFmtId="0" fontId="42" fillId="33" borderId="0" xfId="0" applyFont="1" applyFill="1" applyBorder="1" applyAlignment="1" applyProtection="1">
      <alignment horizontal="left" vertical="center" wrapText="1"/>
    </xf>
    <xf numFmtId="0" fontId="39" fillId="33" borderId="45" xfId="0" applyFont="1" applyFill="1" applyBorder="1" applyAlignment="1" applyProtection="1">
      <alignment horizontal="left" vertical="center" wrapText="1"/>
    </xf>
    <xf numFmtId="0" fontId="39" fillId="33" borderId="69" xfId="0" applyFont="1" applyFill="1" applyBorder="1" applyAlignment="1" applyProtection="1">
      <alignment horizontal="left" vertical="center" wrapText="1"/>
    </xf>
    <xf numFmtId="0" fontId="39" fillId="33" borderId="53" xfId="0" applyFont="1" applyFill="1" applyBorder="1" applyAlignment="1" applyProtection="1">
      <alignment horizontal="left" vertical="center" wrapText="1"/>
    </xf>
    <xf numFmtId="0" fontId="48" fillId="40" borderId="0" xfId="134" applyFont="1" applyFill="1" applyBorder="1" applyAlignment="1" applyProtection="1">
      <alignment horizontal="left" vertical="center" wrapText="1"/>
    </xf>
    <xf numFmtId="0" fontId="48" fillId="0" borderId="0" xfId="134" applyFont="1" applyAlignment="1" applyProtection="1">
      <alignment vertical="center"/>
    </xf>
    <xf numFmtId="0" fontId="41" fillId="33" borderId="0" xfId="0" applyFont="1" applyFill="1" applyBorder="1" applyAlignment="1">
      <alignment horizontal="left" vertical="center"/>
    </xf>
    <xf numFmtId="0" fontId="59" fillId="32" borderId="32" xfId="0" applyFont="1" applyFill="1" applyBorder="1" applyAlignment="1" applyProtection="1">
      <alignment horizontal="left" vertical="center" wrapText="1"/>
    </xf>
    <xf numFmtId="0" fontId="59" fillId="32" borderId="0" xfId="0" applyFont="1" applyFill="1" applyBorder="1" applyAlignment="1" applyProtection="1">
      <alignment horizontal="left" vertical="center" wrapText="1"/>
    </xf>
    <xf numFmtId="0" fontId="59" fillId="32" borderId="23" xfId="0" applyFont="1" applyFill="1" applyBorder="1" applyAlignment="1" applyProtection="1">
      <alignment horizontal="left" vertical="center" wrapText="1"/>
    </xf>
    <xf numFmtId="0" fontId="41" fillId="33" borderId="42" xfId="0" applyFont="1" applyFill="1" applyBorder="1" applyAlignment="1" applyProtection="1">
      <alignment horizontal="left" vertical="center" wrapText="1"/>
    </xf>
    <xf numFmtId="0" fontId="39" fillId="0" borderId="18" xfId="0" applyFont="1" applyBorder="1" applyAlignment="1">
      <alignment horizontal="left" vertical="center" wrapText="1"/>
    </xf>
    <xf numFmtId="0" fontId="39" fillId="0" borderId="20" xfId="0" applyFont="1" applyBorder="1" applyAlignment="1">
      <alignment horizontal="left" vertical="center" wrapText="1"/>
    </xf>
    <xf numFmtId="167" fontId="41" fillId="25" borderId="17" xfId="0" applyNumberFormat="1" applyFont="1" applyFill="1" applyBorder="1" applyAlignment="1" applyProtection="1">
      <alignment horizontal="right" vertical="center" wrapText="1"/>
    </xf>
    <xf numFmtId="167" fontId="41" fillId="25" borderId="56" xfId="0" applyNumberFormat="1" applyFont="1" applyFill="1" applyBorder="1" applyAlignment="1" applyProtection="1">
      <alignment horizontal="right" vertical="center" wrapText="1"/>
    </xf>
    <xf numFmtId="167" fontId="41" fillId="25" borderId="20" xfId="0" applyNumberFormat="1" applyFont="1" applyFill="1" applyBorder="1" applyAlignment="1" applyProtection="1">
      <alignment horizontal="right" vertical="center" wrapText="1"/>
    </xf>
    <xf numFmtId="0" fontId="39" fillId="33" borderId="10" xfId="0" applyFont="1" applyFill="1" applyBorder="1" applyAlignment="1" applyProtection="1">
      <alignment horizontal="left" vertical="center" wrapText="1"/>
    </xf>
    <xf numFmtId="0" fontId="39" fillId="33" borderId="11" xfId="0" applyFont="1" applyFill="1" applyBorder="1" applyAlignment="1" applyProtection="1">
      <alignment horizontal="left" vertical="center" wrapText="1"/>
    </xf>
    <xf numFmtId="166" fontId="39" fillId="33" borderId="36" xfId="0" applyNumberFormat="1" applyFont="1" applyFill="1" applyBorder="1" applyAlignment="1" applyProtection="1">
      <alignment horizontal="right" vertical="center"/>
      <protection locked="0"/>
    </xf>
    <xf numFmtId="166" fontId="39" fillId="33" borderId="38" xfId="0" applyNumberFormat="1" applyFont="1" applyFill="1" applyBorder="1" applyAlignment="1" applyProtection="1">
      <alignment horizontal="right" vertical="center"/>
      <protection locked="0"/>
    </xf>
    <xf numFmtId="0" fontId="39" fillId="33" borderId="12" xfId="134" applyFont="1" applyFill="1" applyBorder="1" applyAlignment="1" applyProtection="1">
      <alignment horizontal="left" vertical="center" wrapText="1"/>
    </xf>
    <xf numFmtId="0" fontId="39" fillId="0" borderId="13" xfId="134" applyFont="1" applyBorder="1" applyAlignment="1" applyProtection="1">
      <alignment horizontal="left" vertical="center" wrapText="1"/>
    </xf>
    <xf numFmtId="0" fontId="39" fillId="0" borderId="14" xfId="134" applyFont="1" applyBorder="1" applyAlignment="1" applyProtection="1">
      <alignment horizontal="left" vertical="center" wrapText="1"/>
    </xf>
    <xf numFmtId="0" fontId="39" fillId="0" borderId="17" xfId="134" applyFont="1" applyBorder="1" applyAlignment="1" applyProtection="1">
      <alignment horizontal="left" vertical="center" wrapText="1"/>
    </xf>
    <xf numFmtId="0" fontId="39" fillId="0" borderId="18" xfId="134" applyFont="1" applyBorder="1" applyAlignment="1" applyProtection="1">
      <alignment horizontal="left" vertical="center" wrapText="1"/>
    </xf>
    <xf numFmtId="0" fontId="39" fillId="0" borderId="20" xfId="134" applyFont="1" applyBorder="1" applyAlignment="1" applyProtection="1">
      <alignment horizontal="left" vertical="center" wrapText="1"/>
    </xf>
    <xf numFmtId="0" fontId="39" fillId="0" borderId="54" xfId="0" applyFont="1" applyBorder="1" applyAlignment="1">
      <alignment wrapText="1"/>
    </xf>
    <xf numFmtId="0" fontId="39" fillId="33" borderId="59" xfId="0" applyFont="1" applyFill="1" applyBorder="1" applyAlignment="1" applyProtection="1">
      <alignment horizontal="center" vertical="center"/>
    </xf>
    <xf numFmtId="0" fontId="39" fillId="0" borderId="59" xfId="0" applyFont="1" applyBorder="1" applyAlignment="1" applyProtection="1">
      <alignment horizontal="center" vertical="center"/>
    </xf>
    <xf numFmtId="0" fontId="47" fillId="0" borderId="21" xfId="0" applyFont="1" applyBorder="1" applyAlignment="1" applyProtection="1">
      <alignment horizontal="center" vertical="center"/>
    </xf>
    <xf numFmtId="0" fontId="51" fillId="25" borderId="27" xfId="0" applyFont="1" applyFill="1" applyBorder="1" applyAlignment="1" applyProtection="1">
      <alignment horizontal="center" vertical="center" wrapText="1"/>
    </xf>
    <xf numFmtId="0" fontId="39" fillId="0" borderId="27" xfId="0" applyFont="1" applyBorder="1" applyAlignment="1" applyProtection="1">
      <alignment horizontal="center" vertical="center" wrapText="1"/>
    </xf>
    <xf numFmtId="0" fontId="39" fillId="0" borderId="28" xfId="0" applyFont="1" applyBorder="1" applyAlignment="1" applyProtection="1">
      <alignment horizontal="center" vertical="center" wrapText="1"/>
    </xf>
    <xf numFmtId="0" fontId="58" fillId="52" borderId="55" xfId="134" applyFont="1" applyFill="1" applyBorder="1" applyAlignment="1" applyProtection="1">
      <alignment horizontal="center" vertical="center" wrapText="1"/>
    </xf>
    <xf numFmtId="0" fontId="74" fillId="33" borderId="0" xfId="134" applyFont="1" applyFill="1" applyAlignment="1" applyProtection="1">
      <alignment horizontal="center" vertical="center" wrapText="1"/>
    </xf>
    <xf numFmtId="0" fontId="75" fillId="33" borderId="0" xfId="0" applyFont="1" applyFill="1" applyAlignment="1">
      <alignment horizontal="center" vertical="center" wrapText="1"/>
    </xf>
    <xf numFmtId="0" fontId="42" fillId="33" borderId="30" xfId="0" applyFont="1" applyFill="1" applyBorder="1" applyAlignment="1">
      <alignment horizontal="left" vertical="top" wrapText="1"/>
    </xf>
    <xf numFmtId="0" fontId="39" fillId="0" borderId="30" xfId="0" applyFont="1" applyBorder="1" applyAlignment="1">
      <alignment wrapText="1"/>
    </xf>
    <xf numFmtId="0" fontId="42" fillId="33" borderId="30" xfId="0" applyFont="1" applyFill="1" applyBorder="1" applyAlignment="1">
      <alignment horizontal="left" vertical="top" wrapText="1" indent="1"/>
    </xf>
    <xf numFmtId="0" fontId="39" fillId="0" borderId="30" xfId="0" applyFont="1" applyBorder="1" applyAlignment="1">
      <alignment horizontal="left" vertical="top" wrapText="1" indent="1"/>
    </xf>
    <xf numFmtId="0" fontId="42" fillId="0" borderId="30" xfId="0" applyFont="1" applyBorder="1" applyAlignment="1">
      <alignment horizontal="left" vertical="top" wrapText="1" indent="1"/>
    </xf>
    <xf numFmtId="0" fontId="58" fillId="33" borderId="0" xfId="134" applyFont="1" applyFill="1" applyBorder="1" applyAlignment="1" applyProtection="1">
      <alignment horizontal="center" vertical="center" wrapText="1"/>
    </xf>
    <xf numFmtId="0" fontId="58" fillId="0" borderId="0" xfId="134" applyFont="1" applyAlignment="1" applyProtection="1">
      <alignment horizontal="center" vertical="center"/>
    </xf>
    <xf numFmtId="0" fontId="58" fillId="32" borderId="0" xfId="134" applyFont="1" applyFill="1" applyBorder="1" applyAlignment="1" applyProtection="1">
      <alignment horizontal="center" vertical="center" wrapText="1"/>
    </xf>
    <xf numFmtId="0" fontId="58" fillId="32" borderId="0" xfId="134" applyFont="1" applyFill="1" applyAlignment="1" applyProtection="1">
      <alignment horizontal="center" vertical="center"/>
    </xf>
    <xf numFmtId="0" fontId="42" fillId="33" borderId="0" xfId="0" applyFont="1" applyFill="1" applyBorder="1" applyAlignment="1">
      <alignment horizontal="center" vertical="center" wrapText="1"/>
    </xf>
    <xf numFmtId="0" fontId="49" fillId="33" borderId="0" xfId="0" applyFont="1" applyFill="1" applyBorder="1" applyAlignment="1">
      <alignment horizontal="center" vertical="top" wrapText="1"/>
    </xf>
    <xf numFmtId="0" fontId="48" fillId="33" borderId="0" xfId="134" applyFont="1" applyFill="1" applyBorder="1" applyAlignment="1" applyProtection="1">
      <alignment horizontal="left" vertical="center"/>
    </xf>
    <xf numFmtId="0" fontId="41" fillId="63" borderId="0" xfId="0" applyFont="1" applyFill="1" applyAlignment="1" applyProtection="1">
      <alignment horizontal="center" vertical="center"/>
    </xf>
    <xf numFmtId="0" fontId="56" fillId="45" borderId="65" xfId="0" applyFont="1" applyFill="1" applyBorder="1" applyAlignment="1" applyProtection="1">
      <alignment horizontal="left" vertical="center"/>
    </xf>
    <xf numFmtId="0" fontId="56" fillId="45" borderId="55" xfId="0" applyFont="1" applyFill="1" applyBorder="1" applyAlignment="1" applyProtection="1">
      <alignment horizontal="left" vertical="center"/>
    </xf>
    <xf numFmtId="0" fontId="56" fillId="45" borderId="21" xfId="0" applyFont="1" applyFill="1" applyBorder="1" applyAlignment="1" applyProtection="1">
      <alignment horizontal="left" vertical="center"/>
    </xf>
    <xf numFmtId="0" fontId="39" fillId="33" borderId="32" xfId="0" applyFont="1" applyFill="1" applyBorder="1" applyAlignment="1" applyProtection="1">
      <alignment horizontal="left" vertical="top" wrapText="1"/>
      <protection locked="0"/>
    </xf>
    <xf numFmtId="0" fontId="39" fillId="40" borderId="0" xfId="0" applyFont="1" applyFill="1" applyBorder="1" applyAlignment="1" applyProtection="1">
      <alignment horizontal="left" vertical="top" wrapText="1"/>
      <protection locked="0"/>
    </xf>
    <xf numFmtId="0" fontId="39" fillId="40" borderId="23" xfId="0" applyFont="1" applyFill="1" applyBorder="1" applyAlignment="1" applyProtection="1">
      <alignment horizontal="left" vertical="top" wrapText="1"/>
      <protection locked="0"/>
    </xf>
    <xf numFmtId="0" fontId="39" fillId="33" borderId="34" xfId="0" applyFont="1" applyFill="1" applyBorder="1" applyAlignment="1" applyProtection="1">
      <alignment horizontal="left" vertical="top" wrapText="1"/>
      <protection locked="0"/>
    </xf>
    <xf numFmtId="0" fontId="39" fillId="33" borderId="27" xfId="0" applyFont="1" applyFill="1" applyBorder="1" applyAlignment="1" applyProtection="1">
      <alignment horizontal="left" vertical="top" wrapText="1"/>
      <protection locked="0"/>
    </xf>
    <xf numFmtId="0" fontId="39" fillId="33" borderId="28" xfId="0" applyFont="1" applyFill="1" applyBorder="1" applyAlignment="1" applyProtection="1">
      <alignment horizontal="left" vertical="top" wrapText="1"/>
      <protection locked="0"/>
    </xf>
    <xf numFmtId="0" fontId="51" fillId="45" borderId="65" xfId="0" applyFont="1" applyFill="1" applyBorder="1" applyAlignment="1" applyProtection="1">
      <alignment horizontal="left" vertical="center" wrapText="1"/>
    </xf>
    <xf numFmtId="0" fontId="51" fillId="45" borderId="55" xfId="0" applyFont="1" applyFill="1" applyBorder="1" applyAlignment="1" applyProtection="1">
      <alignment horizontal="left" vertical="center" wrapText="1"/>
    </xf>
    <xf numFmtId="0" fontId="51" fillId="45" borderId="21" xfId="0" applyFont="1" applyFill="1" applyBorder="1" applyAlignment="1" applyProtection="1">
      <alignment horizontal="left" vertical="center" wrapText="1"/>
    </xf>
    <xf numFmtId="0" fontId="39" fillId="40" borderId="66" xfId="0" applyFont="1" applyFill="1" applyBorder="1" applyAlignment="1" applyProtection="1">
      <alignment horizontal="left" vertical="top" wrapText="1"/>
      <protection locked="0"/>
    </xf>
    <xf numFmtId="0" fontId="39" fillId="40" borderId="13" xfId="0" applyFont="1" applyFill="1" applyBorder="1" applyAlignment="1" applyProtection="1">
      <alignment horizontal="left" vertical="top" wrapText="1"/>
      <protection locked="0"/>
    </xf>
    <xf numFmtId="0" fontId="39" fillId="40" borderId="25" xfId="0" applyFont="1" applyFill="1" applyBorder="1" applyAlignment="1" applyProtection="1">
      <alignment horizontal="left" vertical="top" wrapText="1"/>
      <protection locked="0"/>
    </xf>
    <xf numFmtId="0" fontId="39" fillId="40" borderId="34" xfId="0" applyFont="1" applyFill="1" applyBorder="1" applyAlignment="1" applyProtection="1">
      <alignment horizontal="left" vertical="top" wrapText="1"/>
      <protection locked="0"/>
    </xf>
    <xf numFmtId="0" fontId="39" fillId="40" borderId="27" xfId="0" applyFont="1" applyFill="1" applyBorder="1" applyAlignment="1" applyProtection="1">
      <alignment horizontal="left" vertical="top" wrapText="1"/>
      <protection locked="0"/>
    </xf>
    <xf numFmtId="0" fontId="39" fillId="40" borderId="28" xfId="0" applyFont="1" applyFill="1" applyBorder="1" applyAlignment="1" applyProtection="1">
      <alignment horizontal="left" vertical="top" wrapText="1"/>
      <protection locked="0"/>
    </xf>
    <xf numFmtId="0" fontId="39" fillId="40" borderId="60" xfId="0" applyFont="1" applyFill="1" applyBorder="1" applyAlignment="1" applyProtection="1">
      <alignment horizontal="left" vertical="center" wrapText="1"/>
    </xf>
    <xf numFmtId="0" fontId="39" fillId="40" borderId="19" xfId="0" applyFont="1" applyFill="1" applyBorder="1" applyAlignment="1" applyProtection="1">
      <alignment horizontal="left" vertical="center" wrapText="1"/>
    </xf>
    <xf numFmtId="0" fontId="39" fillId="40" borderId="11" xfId="0" applyFont="1" applyFill="1" applyBorder="1" applyAlignment="1" applyProtection="1">
      <alignment horizontal="left" vertical="center" wrapText="1"/>
    </xf>
    <xf numFmtId="0" fontId="39" fillId="40" borderId="10" xfId="0" applyFont="1" applyFill="1" applyBorder="1" applyAlignment="1" applyProtection="1">
      <alignment horizontal="center" vertical="center" wrapText="1"/>
      <protection locked="0"/>
    </xf>
    <xf numFmtId="0" fontId="39" fillId="40" borderId="19" xfId="0" applyFont="1" applyFill="1" applyBorder="1" applyAlignment="1" applyProtection="1">
      <alignment horizontal="center" vertical="center" wrapText="1"/>
      <protection locked="0"/>
    </xf>
    <xf numFmtId="0" fontId="39" fillId="40" borderId="54" xfId="0" applyFont="1" applyFill="1" applyBorder="1" applyAlignment="1" applyProtection="1">
      <alignment horizontal="center" vertical="center" wrapText="1"/>
      <protection locked="0"/>
    </xf>
    <xf numFmtId="0" fontId="39" fillId="40" borderId="76" xfId="0" applyFont="1" applyFill="1" applyBorder="1" applyAlignment="1" applyProtection="1">
      <alignment vertical="center" wrapText="1"/>
    </xf>
    <xf numFmtId="0" fontId="39" fillId="40" borderId="77" xfId="0" applyFont="1" applyFill="1" applyBorder="1" applyAlignment="1" applyProtection="1">
      <alignment vertical="center" wrapText="1"/>
    </xf>
    <xf numFmtId="0" fontId="39" fillId="40" borderId="78" xfId="0" applyFont="1" applyFill="1" applyBorder="1" applyAlignment="1" applyProtection="1">
      <alignment vertical="center" wrapText="1"/>
    </xf>
    <xf numFmtId="0" fontId="39" fillId="40" borderId="32" xfId="0" applyFont="1" applyFill="1" applyBorder="1" applyAlignment="1" applyProtection="1">
      <alignment horizontal="left" vertical="top" wrapText="1"/>
      <protection locked="0"/>
    </xf>
    <xf numFmtId="0" fontId="39" fillId="40" borderId="42" xfId="0" applyFont="1" applyFill="1" applyBorder="1" applyAlignment="1" applyProtection="1">
      <alignment horizontal="left" vertical="top" wrapText="1"/>
      <protection locked="0"/>
    </xf>
    <xf numFmtId="0" fontId="39" fillId="40" borderId="18" xfId="0" applyFont="1" applyFill="1" applyBorder="1" applyAlignment="1" applyProtection="1">
      <alignment horizontal="left" vertical="top" wrapText="1"/>
      <protection locked="0"/>
    </xf>
    <xf numFmtId="0" fontId="39" fillId="40" borderId="56" xfId="0" applyFont="1" applyFill="1" applyBorder="1" applyAlignment="1" applyProtection="1">
      <alignment horizontal="left" vertical="top" wrapText="1"/>
      <protection locked="0"/>
    </xf>
    <xf numFmtId="0" fontId="39" fillId="40" borderId="76" xfId="0" applyFont="1" applyFill="1" applyBorder="1" applyAlignment="1" applyProtection="1">
      <alignment horizontal="left" vertical="center" wrapText="1"/>
    </xf>
    <xf numFmtId="0" fontId="39" fillId="40" borderId="77" xfId="0" applyFont="1" applyFill="1" applyBorder="1" applyAlignment="1" applyProtection="1">
      <alignment horizontal="left" vertical="center" wrapText="1"/>
    </xf>
    <xf numFmtId="0" fontId="39" fillId="40" borderId="78" xfId="0" applyFont="1" applyFill="1" applyBorder="1" applyAlignment="1" applyProtection="1">
      <alignment horizontal="left" vertical="center" wrapText="1"/>
    </xf>
    <xf numFmtId="0" fontId="39" fillId="33" borderId="23" xfId="0" applyFont="1" applyFill="1" applyBorder="1" applyAlignment="1" applyProtection="1">
      <alignment horizontal="left" vertical="top" wrapText="1"/>
      <protection locked="0"/>
    </xf>
    <xf numFmtId="0" fontId="39" fillId="0" borderId="76" xfId="0" applyFont="1" applyFill="1" applyBorder="1" applyAlignment="1" applyProtection="1">
      <alignment vertical="center" wrapText="1"/>
    </xf>
    <xf numFmtId="0" fontId="39" fillId="0" borderId="77" xfId="0" applyFont="1" applyFill="1" applyBorder="1" applyAlignment="1" applyProtection="1">
      <alignment vertical="center" wrapText="1"/>
    </xf>
    <xf numFmtId="0" fontId="39" fillId="0" borderId="78" xfId="0" applyFont="1" applyFill="1" applyBorder="1" applyAlignment="1" applyProtection="1">
      <alignment vertical="center" wrapText="1"/>
    </xf>
    <xf numFmtId="0" fontId="39" fillId="33" borderId="42" xfId="0" applyFont="1" applyFill="1" applyBorder="1" applyAlignment="1" applyProtection="1">
      <alignment horizontal="left" vertical="top" wrapText="1"/>
      <protection locked="0"/>
    </xf>
    <xf numFmtId="0" fontId="39" fillId="33" borderId="18" xfId="0" applyFont="1" applyFill="1" applyBorder="1" applyAlignment="1" applyProtection="1">
      <alignment horizontal="left" vertical="top" wrapText="1"/>
      <protection locked="0"/>
    </xf>
    <xf numFmtId="0" fontId="39" fillId="33" borderId="56" xfId="0" applyFont="1" applyFill="1" applyBorder="1" applyAlignment="1" applyProtection="1">
      <alignment horizontal="left" vertical="top" wrapText="1"/>
      <protection locked="0"/>
    </xf>
    <xf numFmtId="0" fontId="39" fillId="40" borderId="76" xfId="0" applyFont="1" applyFill="1" applyBorder="1" applyAlignment="1" applyProtection="1">
      <alignment vertical="center"/>
    </xf>
    <xf numFmtId="0" fontId="39" fillId="40" borderId="77" xfId="0" applyFont="1" applyFill="1" applyBorder="1" applyAlignment="1" applyProtection="1">
      <alignment vertical="center"/>
    </xf>
    <xf numFmtId="0" fontId="39" fillId="40" borderId="78" xfId="0" applyFont="1" applyFill="1" applyBorder="1" applyAlignment="1" applyProtection="1">
      <alignment vertical="center"/>
    </xf>
    <xf numFmtId="0" fontId="39" fillId="40" borderId="66" xfId="0" applyFont="1" applyFill="1" applyBorder="1" applyAlignment="1" applyProtection="1">
      <alignment horizontal="left" vertical="center" wrapText="1"/>
    </xf>
    <xf numFmtId="0" fontId="39" fillId="40" borderId="13" xfId="0" applyFont="1" applyFill="1" applyBorder="1" applyAlignment="1" applyProtection="1">
      <alignment horizontal="left" vertical="center" wrapText="1"/>
    </xf>
    <xf numFmtId="0" fontId="39" fillId="40" borderId="14" xfId="0" applyFont="1" applyFill="1" applyBorder="1" applyAlignment="1" applyProtection="1">
      <alignment horizontal="left" vertical="center" wrapText="1"/>
    </xf>
    <xf numFmtId="0" fontId="41" fillId="40" borderId="0" xfId="0" applyFont="1" applyFill="1" applyBorder="1" applyAlignment="1" applyProtection="1">
      <alignment horizontal="center" vertical="center"/>
    </xf>
    <xf numFmtId="0" fontId="39" fillId="33" borderId="52" xfId="0" applyFont="1" applyFill="1" applyBorder="1" applyAlignment="1" applyProtection="1">
      <alignment horizontal="left" vertical="center" wrapText="1"/>
      <protection locked="0"/>
    </xf>
    <xf numFmtId="0" fontId="39" fillId="33" borderId="44" xfId="0" applyFont="1" applyFill="1" applyBorder="1" applyAlignment="1" applyProtection="1">
      <alignment horizontal="left" vertical="center"/>
      <protection locked="0"/>
    </xf>
    <xf numFmtId="0" fontId="39" fillId="33" borderId="41" xfId="0" applyFont="1" applyFill="1" applyBorder="1" applyAlignment="1" applyProtection="1">
      <alignment horizontal="left" vertical="center"/>
      <protection locked="0"/>
    </xf>
    <xf numFmtId="0" fontId="51" fillId="45" borderId="62" xfId="0" applyFont="1" applyFill="1" applyBorder="1" applyAlignment="1" applyProtection="1">
      <alignment vertical="center" wrapText="1"/>
    </xf>
    <xf numFmtId="0" fontId="51" fillId="45" borderId="63" xfId="0" applyFont="1" applyFill="1" applyBorder="1" applyAlignment="1" applyProtection="1">
      <alignment vertical="center" wrapText="1"/>
    </xf>
    <xf numFmtId="0" fontId="51" fillId="45" borderId="64" xfId="0" applyFont="1" applyFill="1" applyBorder="1" applyAlignment="1" applyProtection="1">
      <alignment vertical="center" wrapText="1"/>
    </xf>
    <xf numFmtId="0" fontId="39" fillId="40" borderId="14" xfId="0" applyFont="1" applyFill="1" applyBorder="1" applyAlignment="1" applyProtection="1">
      <alignment horizontal="left" vertical="top" wrapText="1"/>
      <protection locked="0"/>
    </xf>
    <xf numFmtId="0" fontId="39" fillId="40" borderId="20" xfId="0" applyFont="1" applyFill="1" applyBorder="1" applyAlignment="1" applyProtection="1">
      <alignment horizontal="left" vertical="top" wrapText="1"/>
      <protection locked="0"/>
    </xf>
    <xf numFmtId="0" fontId="41" fillId="40" borderId="10" xfId="0" applyFont="1" applyFill="1" applyBorder="1" applyAlignment="1" applyProtection="1">
      <alignment horizontal="center" vertical="center" wrapText="1"/>
    </xf>
    <xf numFmtId="0" fontId="41" fillId="40" borderId="19" xfId="0" applyFont="1" applyFill="1" applyBorder="1" applyAlignment="1" applyProtection="1">
      <alignment horizontal="center" vertical="center" wrapText="1"/>
    </xf>
    <xf numFmtId="0" fontId="41" fillId="40" borderId="11" xfId="0" applyFont="1" applyFill="1" applyBorder="1" applyAlignment="1" applyProtection="1">
      <alignment horizontal="center" vertical="center" wrapText="1"/>
    </xf>
    <xf numFmtId="0" fontId="56" fillId="45" borderId="59" xfId="0" applyFont="1" applyFill="1" applyBorder="1" applyAlignment="1" applyProtection="1">
      <alignment horizontal="left" vertical="center" wrapText="1"/>
    </xf>
    <xf numFmtId="0" fontId="56" fillId="45" borderId="36" xfId="0" applyFont="1" applyFill="1" applyBorder="1" applyAlignment="1" applyProtection="1">
      <alignment horizontal="left" vertical="center" wrapText="1"/>
    </xf>
    <xf numFmtId="0" fontId="56" fillId="45" borderId="38" xfId="0" applyFont="1" applyFill="1" applyBorder="1" applyAlignment="1" applyProtection="1">
      <alignment horizontal="left" vertical="center" wrapText="1"/>
    </xf>
    <xf numFmtId="0" fontId="56" fillId="45" borderId="58" xfId="0" applyFont="1" applyFill="1" applyBorder="1" applyAlignment="1" applyProtection="1">
      <alignment horizontal="center" vertical="center" wrapText="1"/>
    </xf>
    <xf numFmtId="0" fontId="56" fillId="45" borderId="37" xfId="0" applyFont="1" applyFill="1" applyBorder="1" applyAlignment="1" applyProtection="1">
      <alignment horizontal="center" vertical="center" wrapText="1"/>
    </xf>
    <xf numFmtId="0" fontId="56" fillId="45" borderId="20" xfId="0" applyFont="1" applyFill="1" applyBorder="1" applyAlignment="1" applyProtection="1">
      <alignment horizontal="center" vertical="center" wrapText="1"/>
    </xf>
    <xf numFmtId="0" fontId="56" fillId="45" borderId="39" xfId="0" applyFont="1" applyFill="1" applyBorder="1" applyAlignment="1" applyProtection="1">
      <alignment horizontal="center" vertical="center" wrapText="1"/>
    </xf>
    <xf numFmtId="0" fontId="56" fillId="45" borderId="79" xfId="0" applyFont="1" applyFill="1" applyBorder="1" applyAlignment="1" applyProtection="1">
      <alignment horizontal="left" vertical="center"/>
    </xf>
    <xf numFmtId="0" fontId="56" fillId="45" borderId="30" xfId="0" applyFont="1" applyFill="1" applyBorder="1" applyAlignment="1" applyProtection="1">
      <alignment horizontal="center" vertical="center" wrapText="1"/>
    </xf>
    <xf numFmtId="0" fontId="56" fillId="45" borderId="18" xfId="0" applyFont="1" applyFill="1" applyBorder="1" applyAlignment="1" applyProtection="1">
      <alignment horizontal="center" vertical="center" wrapText="1"/>
    </xf>
    <xf numFmtId="0" fontId="48" fillId="45" borderId="30" xfId="134" applyFont="1" applyFill="1" applyBorder="1" applyAlignment="1" applyProtection="1">
      <alignment horizontal="center" vertical="center" wrapText="1"/>
    </xf>
    <xf numFmtId="0" fontId="48" fillId="45" borderId="31" xfId="134" applyFont="1" applyFill="1" applyBorder="1" applyAlignment="1" applyProtection="1">
      <alignment horizontal="center" vertical="center" wrapText="1"/>
    </xf>
    <xf numFmtId="0" fontId="56" fillId="45" borderId="60" xfId="0" applyFont="1" applyFill="1" applyBorder="1" applyAlignment="1" applyProtection="1">
      <alignment horizontal="left" vertical="center"/>
    </xf>
    <xf numFmtId="0" fontId="56" fillId="45" borderId="19" xfId="0" applyFont="1" applyFill="1" applyBorder="1" applyAlignment="1" applyProtection="1">
      <alignment horizontal="left" vertical="center"/>
    </xf>
    <xf numFmtId="0" fontId="56" fillId="45" borderId="11" xfId="0" applyFont="1" applyFill="1" applyBorder="1" applyAlignment="1" applyProtection="1">
      <alignment horizontal="left" vertical="center"/>
    </xf>
    <xf numFmtId="0" fontId="39" fillId="33" borderId="32" xfId="0" applyFont="1" applyFill="1" applyBorder="1" applyAlignment="1" applyProtection="1">
      <alignment horizontal="right" vertical="center" wrapText="1" indent="1"/>
    </xf>
    <xf numFmtId="0" fontId="39" fillId="33" borderId="0" xfId="0" applyFont="1" applyFill="1" applyBorder="1" applyAlignment="1" applyProtection="1">
      <alignment horizontal="right" vertical="center" wrapText="1" indent="1"/>
    </xf>
    <xf numFmtId="0" fontId="39" fillId="33" borderId="16" xfId="0" applyFont="1" applyFill="1" applyBorder="1" applyAlignment="1" applyProtection="1">
      <alignment horizontal="right" vertical="center" wrapText="1" indent="1"/>
    </xf>
    <xf numFmtId="3" fontId="39" fillId="33" borderId="10" xfId="0" applyNumberFormat="1" applyFont="1" applyFill="1" applyBorder="1" applyAlignment="1" applyProtection="1">
      <alignment horizontal="right" vertical="center" indent="1"/>
      <protection locked="0"/>
    </xf>
    <xf numFmtId="3" fontId="39" fillId="33" borderId="11" xfId="0" applyNumberFormat="1" applyFont="1" applyFill="1" applyBorder="1" applyAlignment="1" applyProtection="1">
      <alignment horizontal="right" vertical="center" indent="1"/>
      <protection locked="0"/>
    </xf>
    <xf numFmtId="0" fontId="39" fillId="33" borderId="26" xfId="0" applyFont="1" applyFill="1" applyBorder="1" applyAlignment="1" applyProtection="1">
      <alignment horizontal="center" vertical="center" wrapText="1"/>
    </xf>
    <xf numFmtId="0" fontId="39" fillId="33" borderId="40" xfId="0" applyFont="1" applyFill="1" applyBorder="1" applyAlignment="1" applyProtection="1">
      <alignment horizontal="center" vertical="center" wrapText="1"/>
    </xf>
    <xf numFmtId="0" fontId="39" fillId="33" borderId="44" xfId="0" applyFont="1" applyFill="1" applyBorder="1" applyAlignment="1" applyProtection="1">
      <alignment horizontal="center" vertical="center" wrapText="1"/>
    </xf>
    <xf numFmtId="173" fontId="39" fillId="33" borderId="44" xfId="0" applyNumberFormat="1" applyFont="1" applyFill="1" applyBorder="1" applyAlignment="1" applyProtection="1">
      <alignment horizontal="center" vertical="center"/>
      <protection locked="0"/>
    </xf>
    <xf numFmtId="3" fontId="39" fillId="33" borderId="45" xfId="0" applyNumberFormat="1" applyFont="1" applyFill="1" applyBorder="1" applyAlignment="1" applyProtection="1">
      <alignment horizontal="left" vertical="center" indent="1"/>
    </xf>
    <xf numFmtId="3" fontId="39" fillId="33" borderId="53" xfId="0" applyNumberFormat="1" applyFont="1" applyFill="1" applyBorder="1" applyAlignment="1" applyProtection="1">
      <alignment horizontal="left" vertical="center" indent="1"/>
    </xf>
    <xf numFmtId="0" fontId="42" fillId="33" borderId="27" xfId="0" applyFont="1" applyFill="1" applyBorder="1" applyAlignment="1" applyProtection="1">
      <alignment horizontal="left" vertical="center" wrapText="1"/>
    </xf>
    <xf numFmtId="167" fontId="49" fillId="33" borderId="10" xfId="0" applyNumberFormat="1" applyFont="1" applyFill="1" applyBorder="1" applyAlignment="1" applyProtection="1">
      <alignment horizontal="center" vertical="center"/>
    </xf>
    <xf numFmtId="167" fontId="49" fillId="33" borderId="19" xfId="0" applyNumberFormat="1" applyFont="1" applyFill="1" applyBorder="1" applyAlignment="1" applyProtection="1">
      <alignment horizontal="center" vertical="center"/>
    </xf>
    <xf numFmtId="0" fontId="39" fillId="0" borderId="10" xfId="0" applyNumberFormat="1" applyFont="1" applyBorder="1" applyAlignment="1" applyProtection="1">
      <alignment horizontal="left" vertical="center" indent="1"/>
      <protection locked="0"/>
    </xf>
    <xf numFmtId="0" fontId="39" fillId="0" borderId="19" xfId="0" applyNumberFormat="1" applyFont="1" applyBorder="1" applyAlignment="1" applyProtection="1">
      <alignment horizontal="left" vertical="center" indent="1"/>
      <protection locked="0"/>
    </xf>
    <xf numFmtId="0" fontId="39" fillId="0" borderId="11" xfId="0" applyNumberFormat="1" applyFont="1" applyBorder="1" applyAlignment="1" applyProtection="1">
      <alignment horizontal="left" vertical="center" indent="1"/>
      <protection locked="0"/>
    </xf>
    <xf numFmtId="0" fontId="42" fillId="40" borderId="15" xfId="0" applyFont="1" applyFill="1" applyBorder="1" applyAlignment="1" applyProtection="1">
      <alignment horizontal="left" vertical="center"/>
    </xf>
    <xf numFmtId="0" fontId="42" fillId="40" borderId="0" xfId="0" applyFont="1" applyFill="1" applyBorder="1" applyAlignment="1" applyProtection="1">
      <alignment horizontal="left" vertical="center"/>
    </xf>
    <xf numFmtId="5" fontId="39" fillId="40" borderId="32" xfId="0" applyNumberFormat="1" applyFont="1" applyFill="1" applyBorder="1" applyAlignment="1" applyProtection="1">
      <alignment horizontal="right" vertical="center" wrapText="1" indent="1"/>
    </xf>
    <xf numFmtId="5" fontId="39" fillId="40" borderId="0" xfId="0" applyNumberFormat="1" applyFont="1" applyFill="1" applyBorder="1" applyAlignment="1" applyProtection="1">
      <alignment horizontal="right" vertical="center" wrapText="1" indent="1"/>
    </xf>
    <xf numFmtId="5" fontId="39" fillId="40" borderId="16" xfId="0" applyNumberFormat="1" applyFont="1" applyFill="1" applyBorder="1" applyAlignment="1" applyProtection="1">
      <alignment horizontal="right" vertical="center" wrapText="1" indent="1"/>
    </xf>
    <xf numFmtId="170" fontId="39" fillId="33" borderId="10" xfId="0" applyNumberFormat="1" applyFont="1" applyFill="1" applyBorder="1" applyAlignment="1" applyProtection="1">
      <alignment horizontal="right" vertical="center" indent="1"/>
      <protection locked="0"/>
    </xf>
    <xf numFmtId="170" fontId="39" fillId="33" borderId="11" xfId="0" applyNumberFormat="1" applyFont="1" applyFill="1" applyBorder="1" applyAlignment="1" applyProtection="1">
      <alignment horizontal="right" vertical="center" indent="1"/>
      <protection locked="0"/>
    </xf>
    <xf numFmtId="0" fontId="58" fillId="33" borderId="36" xfId="134" applyFont="1" applyFill="1" applyBorder="1" applyAlignment="1" applyProtection="1">
      <alignment horizontal="center" vertical="center" wrapText="1"/>
    </xf>
    <xf numFmtId="0" fontId="42" fillId="33" borderId="15" xfId="0" applyFont="1" applyFill="1" applyBorder="1" applyAlignment="1" applyProtection="1">
      <alignment horizontal="left" vertical="center" wrapText="1"/>
    </xf>
    <xf numFmtId="0" fontId="48" fillId="33" borderId="71" xfId="134" applyFont="1" applyFill="1" applyBorder="1" applyAlignment="1" applyProtection="1">
      <alignment horizontal="center" vertical="center" wrapText="1"/>
    </xf>
    <xf numFmtId="0" fontId="48" fillId="33" borderId="30" xfId="134" applyFont="1" applyFill="1" applyBorder="1" applyAlignment="1" applyProtection="1">
      <alignment horizontal="center" vertical="center" wrapText="1"/>
    </xf>
    <xf numFmtId="0" fontId="51" fillId="62" borderId="59" xfId="0" applyFont="1" applyFill="1" applyBorder="1" applyAlignment="1" applyProtection="1">
      <alignment horizontal="right" vertical="center" wrapText="1" indent="1"/>
    </xf>
    <xf numFmtId="0" fontId="51" fillId="62" borderId="36" xfId="0" applyFont="1" applyFill="1" applyBorder="1" applyAlignment="1" applyProtection="1">
      <alignment horizontal="right" vertical="center" wrapText="1" indent="1"/>
    </xf>
    <xf numFmtId="0" fontId="41" fillId="40" borderId="10" xfId="0" applyFont="1" applyFill="1" applyBorder="1" applyAlignment="1" applyProtection="1">
      <alignment horizontal="left" vertical="center" wrapText="1" indent="1"/>
      <protection locked="0"/>
    </xf>
    <xf numFmtId="0" fontId="41" fillId="40" borderId="19" xfId="0" applyFont="1" applyFill="1" applyBorder="1" applyAlignment="1" applyProtection="1">
      <alignment horizontal="left" vertical="center" wrapText="1" indent="1"/>
      <protection locked="0"/>
    </xf>
    <xf numFmtId="0" fontId="41" fillId="40" borderId="11" xfId="0" applyFont="1" applyFill="1" applyBorder="1" applyAlignment="1" applyProtection="1">
      <alignment horizontal="left" vertical="center" wrapText="1" indent="1"/>
      <protection locked="0"/>
    </xf>
    <xf numFmtId="0" fontId="39" fillId="52" borderId="73" xfId="0" applyFont="1" applyFill="1" applyBorder="1" applyAlignment="1" applyProtection="1">
      <alignment horizontal="center" vertical="center"/>
    </xf>
    <xf numFmtId="0" fontId="39" fillId="52" borderId="69" xfId="0" applyFont="1" applyFill="1" applyBorder="1" applyAlignment="1" applyProtection="1">
      <alignment horizontal="center" vertical="center"/>
    </xf>
    <xf numFmtId="0" fontId="39" fillId="52" borderId="70" xfId="0" applyFont="1" applyFill="1" applyBorder="1" applyAlignment="1" applyProtection="1">
      <alignment horizontal="center" vertical="center"/>
    </xf>
    <xf numFmtId="0" fontId="39" fillId="33" borderId="66" xfId="0" applyFont="1" applyFill="1" applyBorder="1" applyAlignment="1" applyProtection="1">
      <alignment horizontal="right" vertical="center" wrapText="1" indent="1"/>
    </xf>
    <xf numFmtId="0" fontId="39" fillId="33" borderId="13" xfId="0" applyFont="1" applyFill="1" applyBorder="1" applyAlignment="1" applyProtection="1">
      <alignment horizontal="right" vertical="center" wrapText="1" indent="1"/>
    </xf>
    <xf numFmtId="0" fontId="39" fillId="33" borderId="14" xfId="0" applyFont="1" applyFill="1" applyBorder="1" applyAlignment="1" applyProtection="1">
      <alignment horizontal="right" vertical="center" wrapText="1" indent="1"/>
    </xf>
    <xf numFmtId="0" fontId="72" fillId="25" borderId="48" xfId="0" applyFont="1" applyFill="1" applyBorder="1" applyAlignment="1" applyProtection="1">
      <alignment horizontal="left" vertical="center"/>
    </xf>
    <xf numFmtId="0" fontId="72" fillId="25" borderId="49" xfId="0" applyFont="1" applyFill="1" applyBorder="1" applyAlignment="1" applyProtection="1">
      <alignment horizontal="left" vertical="center"/>
    </xf>
    <xf numFmtId="0" fontId="89" fillId="25" borderId="61" xfId="0" applyFont="1" applyFill="1" applyBorder="1" applyAlignment="1" applyProtection="1">
      <alignment horizontal="center" vertical="center"/>
    </xf>
    <xf numFmtId="0" fontId="89" fillId="25" borderId="86" xfId="0" applyFont="1" applyFill="1" applyBorder="1" applyAlignment="1" applyProtection="1">
      <alignment horizontal="center" vertical="center"/>
    </xf>
    <xf numFmtId="0" fontId="89" fillId="25" borderId="87" xfId="0" applyFont="1" applyFill="1" applyBorder="1" applyAlignment="1" applyProtection="1">
      <alignment horizontal="center" vertical="center"/>
    </xf>
    <xf numFmtId="0" fontId="41" fillId="40" borderId="49" xfId="0" applyFont="1" applyFill="1" applyBorder="1" applyAlignment="1" applyProtection="1">
      <alignment horizontal="left" vertical="center"/>
    </xf>
    <xf numFmtId="0" fontId="39" fillId="40" borderId="80" xfId="0" applyFont="1" applyFill="1" applyBorder="1" applyAlignment="1" applyProtection="1">
      <alignment vertical="center" wrapText="1"/>
    </xf>
    <xf numFmtId="0" fontId="39" fillId="40" borderId="81" xfId="0" applyFont="1" applyFill="1" applyBorder="1" applyAlignment="1" applyProtection="1">
      <alignment vertical="center" wrapText="1"/>
    </xf>
    <xf numFmtId="0" fontId="39" fillId="40" borderId="82" xfId="0" applyFont="1" applyFill="1" applyBorder="1" applyAlignment="1" applyProtection="1">
      <alignment horizontal="left" vertical="top" wrapText="1"/>
      <protection locked="0"/>
    </xf>
    <xf numFmtId="0" fontId="39" fillId="40" borderId="83" xfId="0" applyFont="1" applyFill="1" applyBorder="1" applyAlignment="1" applyProtection="1">
      <alignment horizontal="left" vertical="top" wrapText="1"/>
      <protection locked="0"/>
    </xf>
    <xf numFmtId="0" fontId="39" fillId="33" borderId="84" xfId="0" applyFont="1" applyFill="1" applyBorder="1" applyAlignment="1" applyProtection="1">
      <alignment horizontal="left" vertical="top" wrapText="1"/>
      <protection locked="0"/>
    </xf>
    <xf numFmtId="0" fontId="39" fillId="33" borderId="36" xfId="0" applyFont="1" applyFill="1" applyBorder="1" applyAlignment="1" applyProtection="1">
      <alignment horizontal="left" vertical="center"/>
      <protection locked="0"/>
    </xf>
    <xf numFmtId="0" fontId="39" fillId="33" borderId="38" xfId="0" applyFont="1" applyFill="1" applyBorder="1" applyAlignment="1" applyProtection="1">
      <alignment horizontal="left" vertical="center"/>
      <protection locked="0"/>
    </xf>
    <xf numFmtId="0" fontId="39" fillId="33" borderId="37" xfId="0" applyFont="1" applyFill="1" applyBorder="1" applyAlignment="1" applyProtection="1">
      <alignment horizontal="left" vertical="center"/>
      <protection locked="0"/>
    </xf>
    <xf numFmtId="0" fontId="39" fillId="33" borderId="39" xfId="0" applyFont="1" applyFill="1" applyBorder="1" applyAlignment="1" applyProtection="1">
      <alignment horizontal="left" vertical="center"/>
      <protection locked="0"/>
    </xf>
    <xf numFmtId="0" fontId="39" fillId="0" borderId="80" xfId="0" applyFont="1" applyFill="1" applyBorder="1" applyAlignment="1" applyProtection="1">
      <alignment vertical="center" wrapText="1"/>
    </xf>
    <xf numFmtId="0" fontId="39" fillId="0" borderId="81" xfId="0" applyFont="1" applyFill="1" applyBorder="1" applyAlignment="1" applyProtection="1">
      <alignment vertical="center" wrapText="1"/>
    </xf>
    <xf numFmtId="0" fontId="39" fillId="33" borderId="0" xfId="0" applyFont="1" applyFill="1" applyBorder="1" applyAlignment="1" applyProtection="1">
      <alignment horizontal="center" vertical="center"/>
    </xf>
    <xf numFmtId="0" fontId="39" fillId="33" borderId="24" xfId="0" applyFont="1" applyFill="1" applyBorder="1" applyAlignment="1" applyProtection="1">
      <alignment horizontal="left" vertical="center" wrapText="1"/>
      <protection locked="0"/>
    </xf>
    <xf numFmtId="0" fontId="39" fillId="33" borderId="43" xfId="0" applyFont="1" applyFill="1" applyBorder="1" applyAlignment="1" applyProtection="1">
      <alignment horizontal="left" vertical="center" wrapText="1"/>
      <protection locked="0"/>
    </xf>
    <xf numFmtId="0" fontId="39" fillId="33" borderId="43" xfId="0" applyFont="1" applyFill="1" applyBorder="1" applyAlignment="1" applyProtection="1">
      <alignment horizontal="left" vertical="center"/>
      <protection locked="0"/>
    </xf>
    <xf numFmtId="0" fontId="39" fillId="33" borderId="74" xfId="0" applyFont="1" applyFill="1" applyBorder="1" applyAlignment="1" applyProtection="1">
      <alignment horizontal="left" vertical="center"/>
      <protection locked="0"/>
    </xf>
    <xf numFmtId="173" fontId="39" fillId="33" borderId="10" xfId="0" applyNumberFormat="1" applyFont="1" applyFill="1" applyBorder="1" applyAlignment="1" applyProtection="1">
      <alignment horizontal="right" vertical="center" indent="1"/>
      <protection locked="0"/>
    </xf>
    <xf numFmtId="173" fontId="39" fillId="33" borderId="11" xfId="0" applyNumberFormat="1" applyFont="1" applyFill="1" applyBorder="1" applyAlignment="1" applyProtection="1">
      <alignment horizontal="right" vertical="center" indent="1"/>
      <protection locked="0"/>
    </xf>
    <xf numFmtId="168" fontId="41" fillId="33" borderId="49" xfId="0" applyNumberFormat="1" applyFont="1" applyFill="1" applyBorder="1" applyAlignment="1" applyProtection="1">
      <alignment horizontal="right" vertical="center"/>
    </xf>
    <xf numFmtId="168" fontId="41" fillId="33" borderId="72" xfId="0" applyNumberFormat="1" applyFont="1" applyFill="1" applyBorder="1" applyAlignment="1" applyProtection="1">
      <alignment horizontal="right" vertical="center"/>
    </xf>
    <xf numFmtId="0" fontId="47" fillId="0" borderId="55" xfId="0" applyFont="1" applyBorder="1" applyAlignment="1" applyProtection="1">
      <alignment horizontal="left" vertical="center"/>
    </xf>
    <xf numFmtId="0" fontId="88" fillId="25" borderId="55" xfId="134" applyFont="1" applyFill="1" applyBorder="1" applyAlignment="1" applyProtection="1">
      <alignment horizontal="left" vertical="center"/>
    </xf>
    <xf numFmtId="0" fontId="89" fillId="25" borderId="14" xfId="0" applyFont="1" applyFill="1" applyBorder="1" applyAlignment="1" applyProtection="1">
      <alignment horizontal="center" vertical="center"/>
    </xf>
    <xf numFmtId="0" fontId="89" fillId="25" borderId="43" xfId="0" applyFont="1" applyFill="1" applyBorder="1" applyAlignment="1" applyProtection="1">
      <alignment horizontal="center" vertical="center"/>
    </xf>
    <xf numFmtId="0" fontId="89" fillId="25" borderId="74" xfId="0" applyFont="1" applyFill="1" applyBorder="1" applyAlignment="1" applyProtection="1">
      <alignment horizontal="center" vertical="center"/>
    </xf>
    <xf numFmtId="0" fontId="41" fillId="40" borderId="43" xfId="0" applyFont="1" applyFill="1" applyBorder="1" applyAlignment="1" applyProtection="1">
      <alignment horizontal="center" vertical="center" textRotation="90"/>
    </xf>
    <xf numFmtId="0" fontId="41" fillId="40" borderId="85" xfId="0" applyFont="1" applyFill="1" applyBorder="1" applyAlignment="1" applyProtection="1">
      <alignment horizontal="center" vertical="center" textRotation="90"/>
    </xf>
    <xf numFmtId="0" fontId="41" fillId="40" borderId="37" xfId="0" applyFont="1" applyFill="1" applyBorder="1" applyAlignment="1" applyProtection="1">
      <alignment horizontal="center" vertical="center" textRotation="90"/>
    </xf>
    <xf numFmtId="0" fontId="51" fillId="32" borderId="66" xfId="0" applyNumberFormat="1" applyFont="1" applyFill="1" applyBorder="1" applyAlignment="1" applyProtection="1">
      <alignment horizontal="left" vertical="center" wrapText="1"/>
    </xf>
    <xf numFmtId="0" fontId="51" fillId="32" borderId="13" xfId="0" applyNumberFormat="1" applyFont="1" applyFill="1" applyBorder="1" applyAlignment="1" applyProtection="1">
      <alignment horizontal="left" vertical="center" wrapText="1"/>
    </xf>
    <xf numFmtId="0" fontId="51" fillId="32" borderId="25" xfId="0" applyNumberFormat="1" applyFont="1" applyFill="1" applyBorder="1" applyAlignment="1" applyProtection="1">
      <alignment horizontal="left" vertical="center" wrapText="1"/>
    </xf>
    <xf numFmtId="0" fontId="51" fillId="32" borderId="42" xfId="0" applyNumberFormat="1" applyFont="1" applyFill="1" applyBorder="1" applyAlignment="1" applyProtection="1">
      <alignment horizontal="left" vertical="center" wrapText="1"/>
    </xf>
    <xf numFmtId="0" fontId="51" fillId="32" borderId="18" xfId="0" applyNumberFormat="1" applyFont="1" applyFill="1" applyBorder="1" applyAlignment="1" applyProtection="1">
      <alignment horizontal="left" vertical="center" wrapText="1"/>
    </xf>
    <xf numFmtId="0" fontId="51" fillId="50" borderId="0" xfId="0" applyNumberFormat="1" applyFont="1" applyFill="1" applyBorder="1" applyAlignment="1" applyProtection="1">
      <alignment horizontal="left" vertical="center" wrapText="1"/>
    </xf>
    <xf numFmtId="0" fontId="51" fillId="50" borderId="23" xfId="0" applyNumberFormat="1" applyFont="1" applyFill="1" applyBorder="1" applyAlignment="1" applyProtection="1">
      <alignment horizontal="left" vertical="center" wrapText="1"/>
    </xf>
    <xf numFmtId="0" fontId="72" fillId="25" borderId="66" xfId="0" applyFont="1" applyFill="1" applyBorder="1" applyAlignment="1" applyProtection="1">
      <alignment horizontal="left" vertical="center"/>
    </xf>
    <xf numFmtId="0" fontId="72" fillId="25" borderId="13" xfId="0" applyFont="1" applyFill="1" applyBorder="1" applyAlignment="1" applyProtection="1">
      <alignment horizontal="left" vertical="center"/>
    </xf>
    <xf numFmtId="175" fontId="39" fillId="33" borderId="10" xfId="0" applyNumberFormat="1" applyFont="1" applyFill="1" applyBorder="1" applyAlignment="1" applyProtection="1">
      <alignment horizontal="right" vertical="center" indent="1"/>
      <protection locked="0"/>
    </xf>
    <xf numFmtId="175" fontId="39" fillId="33" borderId="11" xfId="0" applyNumberFormat="1" applyFont="1" applyFill="1" applyBorder="1" applyAlignment="1" applyProtection="1">
      <alignment horizontal="right" vertical="center" indent="1"/>
      <protection locked="0"/>
    </xf>
    <xf numFmtId="0" fontId="41" fillId="0" borderId="48" xfId="0" applyFont="1" applyFill="1" applyBorder="1" applyAlignment="1" applyProtection="1">
      <alignment horizontal="left" vertical="center"/>
    </xf>
    <xf numFmtId="0" fontId="41" fillId="0" borderId="49" xfId="0" applyFont="1" applyFill="1" applyBorder="1" applyAlignment="1" applyProtection="1">
      <alignment horizontal="left" vertical="center"/>
    </xf>
    <xf numFmtId="0" fontId="41" fillId="0" borderId="61" xfId="0" applyFont="1" applyFill="1" applyBorder="1" applyAlignment="1" applyProtection="1">
      <alignment horizontal="left" vertical="center"/>
    </xf>
    <xf numFmtId="0" fontId="39" fillId="33" borderId="88" xfId="0" applyFont="1" applyFill="1" applyBorder="1" applyAlignment="1" applyProtection="1">
      <alignment horizontal="left" vertical="center"/>
    </xf>
    <xf numFmtId="0" fontId="39" fillId="33" borderId="49" xfId="0" applyFont="1" applyFill="1" applyBorder="1" applyAlignment="1" applyProtection="1">
      <alignment horizontal="left" vertical="center"/>
    </xf>
    <xf numFmtId="0" fontId="93" fillId="33" borderId="30" xfId="0" applyFont="1" applyFill="1" applyBorder="1" applyAlignment="1">
      <alignment horizontal="center" vertical="center"/>
    </xf>
    <xf numFmtId="0" fontId="40" fillId="33" borderId="65" xfId="0" applyFont="1" applyFill="1" applyBorder="1" applyAlignment="1">
      <alignment horizontal="center" vertical="center" wrapText="1"/>
    </xf>
    <xf numFmtId="0" fontId="40" fillId="33" borderId="55" xfId="0" applyFont="1" applyFill="1" applyBorder="1" applyAlignment="1">
      <alignment horizontal="center" vertical="center" wrapText="1"/>
    </xf>
    <xf numFmtId="0" fontId="40" fillId="33" borderId="21" xfId="0" applyFont="1" applyFill="1" applyBorder="1" applyAlignment="1">
      <alignment horizontal="center" vertical="center" wrapText="1"/>
    </xf>
    <xf numFmtId="0" fontId="73" fillId="32" borderId="60" xfId="134" applyFont="1" applyFill="1" applyBorder="1" applyAlignment="1" applyProtection="1">
      <alignment vertical="center" wrapText="1"/>
    </xf>
    <xf numFmtId="0" fontId="73" fillId="0" borderId="19" xfId="134" applyFont="1" applyBorder="1" applyAlignment="1" applyProtection="1">
      <alignment vertical="center"/>
    </xf>
    <xf numFmtId="0" fontId="73" fillId="0" borderId="54" xfId="134" applyFont="1" applyBorder="1" applyAlignment="1" applyProtection="1">
      <alignment vertical="center"/>
    </xf>
    <xf numFmtId="0" fontId="39" fillId="0" borderId="23" xfId="0" applyFont="1" applyBorder="1" applyAlignment="1">
      <alignment vertical="center"/>
    </xf>
    <xf numFmtId="0" fontId="48" fillId="33" borderId="15" xfId="134" applyFont="1" applyFill="1" applyBorder="1" applyAlignment="1" applyProtection="1">
      <alignment horizontal="center" vertical="center"/>
    </xf>
    <xf numFmtId="0" fontId="48" fillId="0" borderId="23" xfId="134" applyFont="1" applyBorder="1" applyAlignment="1" applyProtection="1">
      <alignment horizontal="center" vertical="center"/>
    </xf>
    <xf numFmtId="0" fontId="48" fillId="33" borderId="10" xfId="134" applyFont="1" applyFill="1" applyBorder="1" applyAlignment="1" applyProtection="1">
      <alignment horizontal="center" vertical="center" wrapText="1"/>
    </xf>
    <xf numFmtId="0" fontId="48" fillId="0" borderId="54" xfId="134" applyFont="1" applyBorder="1" applyAlignment="1" applyProtection="1">
      <alignment horizontal="center" vertical="center"/>
    </xf>
    <xf numFmtId="0" fontId="48" fillId="33" borderId="15" xfId="134" applyFont="1" applyFill="1" applyBorder="1" applyAlignment="1" applyProtection="1">
      <alignment horizontal="center" vertical="center" wrapText="1"/>
    </xf>
    <xf numFmtId="0" fontId="39" fillId="0" borderId="23" xfId="0" applyFont="1" applyBorder="1" applyAlignment="1">
      <alignment horizontal="center" vertical="center" wrapText="1"/>
    </xf>
    <xf numFmtId="0" fontId="39" fillId="0" borderId="17" xfId="0" applyFont="1" applyBorder="1" applyAlignment="1">
      <alignment horizontal="center" vertical="center" wrapText="1"/>
    </xf>
    <xf numFmtId="0" fontId="39" fillId="0" borderId="56" xfId="0" applyFont="1" applyBorder="1" applyAlignment="1">
      <alignment horizontal="center" vertical="center" wrapText="1"/>
    </xf>
    <xf numFmtId="0" fontId="39" fillId="33" borderId="24" xfId="134" applyFont="1" applyFill="1" applyBorder="1" applyAlignment="1" applyProtection="1">
      <alignment vertical="center" wrapText="1"/>
    </xf>
    <xf numFmtId="0" fontId="39" fillId="33" borderId="22" xfId="134" applyFont="1" applyFill="1" applyBorder="1" applyAlignment="1" applyProtection="1">
      <alignment vertical="center" wrapText="1"/>
    </xf>
    <xf numFmtId="0" fontId="39" fillId="33" borderId="58" xfId="134" applyFont="1" applyFill="1" applyBorder="1" applyAlignment="1" applyProtection="1">
      <alignment vertical="center" wrapText="1"/>
    </xf>
    <xf numFmtId="0" fontId="48" fillId="33" borderId="17" xfId="134" applyFont="1" applyFill="1" applyBorder="1" applyAlignment="1" applyProtection="1">
      <alignment horizontal="center" vertical="center"/>
    </xf>
    <xf numFmtId="0" fontId="48" fillId="33" borderId="10" xfId="134" applyFont="1" applyFill="1" applyBorder="1" applyAlignment="1" applyProtection="1">
      <alignment horizontal="center" vertical="center"/>
    </xf>
    <xf numFmtId="0" fontId="39" fillId="0" borderId="54" xfId="0" applyFont="1" applyBorder="1" applyAlignment="1">
      <alignment horizontal="center" vertical="center"/>
    </xf>
    <xf numFmtId="0" fontId="48" fillId="0" borderId="54" xfId="134" applyFont="1" applyBorder="1" applyAlignment="1" applyProtection="1">
      <alignment horizontal="center" vertical="center" wrapText="1"/>
    </xf>
    <xf numFmtId="0" fontId="48" fillId="33" borderId="45" xfId="134" applyFont="1" applyFill="1" applyBorder="1" applyAlignment="1" applyProtection="1">
      <alignment horizontal="center" vertical="center" wrapText="1"/>
    </xf>
    <xf numFmtId="0" fontId="48" fillId="0" borderId="70" xfId="134" applyFont="1" applyBorder="1" applyAlignment="1" applyProtection="1">
      <alignment horizontal="center" vertical="center"/>
    </xf>
    <xf numFmtId="0" fontId="48" fillId="33" borderId="45" xfId="134" applyFont="1" applyFill="1" applyBorder="1" applyAlignment="1" applyProtection="1">
      <alignment horizontal="center" vertical="center"/>
    </xf>
    <xf numFmtId="0" fontId="39" fillId="0" borderId="70" xfId="0" applyFont="1" applyBorder="1" applyAlignment="1">
      <alignment horizontal="center" vertical="center"/>
    </xf>
    <xf numFmtId="0" fontId="49" fillId="33" borderId="17" xfId="0" applyFont="1" applyFill="1" applyBorder="1" applyAlignment="1">
      <alignment horizontal="center" vertical="center"/>
    </xf>
    <xf numFmtId="0" fontId="49" fillId="33" borderId="56" xfId="0" applyFont="1" applyFill="1" applyBorder="1" applyAlignment="1">
      <alignment horizontal="center" vertical="center"/>
    </xf>
    <xf numFmtId="0" fontId="48" fillId="0" borderId="10" xfId="134" applyFont="1" applyBorder="1" applyAlignment="1" applyProtection="1">
      <alignment horizontal="center" vertical="center" wrapText="1"/>
    </xf>
    <xf numFmtId="0" fontId="39" fillId="0" borderId="56" xfId="0" applyFont="1" applyBorder="1" applyAlignment="1">
      <alignment horizontal="center" vertical="center"/>
    </xf>
    <xf numFmtId="0" fontId="1" fillId="33" borderId="12" xfId="134" applyFill="1" applyBorder="1" applyAlignment="1" applyProtection="1">
      <alignment horizontal="center" vertical="center"/>
    </xf>
    <xf numFmtId="0" fontId="1" fillId="0" borderId="25" xfId="134" applyBorder="1" applyAlignment="1" applyProtection="1">
      <alignment horizontal="center" vertical="center"/>
    </xf>
    <xf numFmtId="0" fontId="49" fillId="33" borderId="12" xfId="0" applyFont="1" applyFill="1" applyBorder="1" applyAlignment="1">
      <alignment horizontal="center" vertical="center"/>
    </xf>
    <xf numFmtId="0" fontId="49" fillId="33" borderId="25" xfId="0" applyFont="1" applyFill="1" applyBorder="1" applyAlignment="1">
      <alignment horizontal="center" vertical="center"/>
    </xf>
    <xf numFmtId="0" fontId="49" fillId="33" borderId="15" xfId="0" applyFont="1" applyFill="1" applyBorder="1" applyAlignment="1">
      <alignment horizontal="center" vertical="center"/>
    </xf>
    <xf numFmtId="0" fontId="49" fillId="33" borderId="23" xfId="0" applyFont="1" applyFill="1" applyBorder="1" applyAlignment="1">
      <alignment horizontal="center" vertical="center"/>
    </xf>
    <xf numFmtId="0" fontId="67" fillId="62" borderId="0" xfId="0" applyFont="1" applyFill="1" applyAlignment="1" applyProtection="1">
      <alignment vertical="center" wrapText="1"/>
    </xf>
    <xf numFmtId="0" fontId="54" fillId="62" borderId="0" xfId="0" applyFont="1" applyFill="1" applyAlignment="1">
      <alignment vertical="center" wrapText="1"/>
    </xf>
    <xf numFmtId="0" fontId="67" fillId="62" borderId="0" xfId="0" applyFont="1" applyFill="1" applyAlignment="1" applyProtection="1">
      <alignment horizontal="left" vertical="center" wrapText="1"/>
    </xf>
  </cellXfs>
  <cellStyles count="180">
    <cellStyle name="20% - Accent1" xfId="1" builtinId="30" customBuiltin="1"/>
    <cellStyle name="20% - Accent1 2" xfId="2" xr:uid="{00000000-0005-0000-0000-000001000000}"/>
    <cellStyle name="20% - Accent1 3" xfId="3" xr:uid="{00000000-0005-0000-0000-000002000000}"/>
    <cellStyle name="20% - Accent1 4" xfId="4" xr:uid="{00000000-0005-0000-0000-000003000000}"/>
    <cellStyle name="20% - Accent2" xfId="5" builtinId="34" customBuiltin="1"/>
    <cellStyle name="20% - Accent2 2" xfId="6" xr:uid="{00000000-0005-0000-0000-000005000000}"/>
    <cellStyle name="20% - Accent2 3" xfId="7" xr:uid="{00000000-0005-0000-0000-000006000000}"/>
    <cellStyle name="20% - Accent2 4" xfId="8" xr:uid="{00000000-0005-0000-0000-000007000000}"/>
    <cellStyle name="20% - Accent3" xfId="9" builtinId="38" customBuiltin="1"/>
    <cellStyle name="20% - Accent3 2" xfId="10" xr:uid="{00000000-0005-0000-0000-000009000000}"/>
    <cellStyle name="20% - Accent3 3" xfId="11" xr:uid="{00000000-0005-0000-0000-00000A000000}"/>
    <cellStyle name="20% - Accent3 4" xfId="12" xr:uid="{00000000-0005-0000-0000-00000B000000}"/>
    <cellStyle name="20% - Accent4" xfId="13" builtinId="42" customBuiltin="1"/>
    <cellStyle name="20% - Accent4 2" xfId="14" xr:uid="{00000000-0005-0000-0000-00000D000000}"/>
    <cellStyle name="20% - Accent4 3" xfId="15" xr:uid="{00000000-0005-0000-0000-00000E000000}"/>
    <cellStyle name="20% - Accent4 4" xfId="16" xr:uid="{00000000-0005-0000-0000-00000F000000}"/>
    <cellStyle name="20% - Accent5" xfId="17" builtinId="46" customBuiltin="1"/>
    <cellStyle name="20% - Accent5 2" xfId="18" xr:uid="{00000000-0005-0000-0000-000011000000}"/>
    <cellStyle name="20% - Accent5 3" xfId="19" xr:uid="{00000000-0005-0000-0000-000012000000}"/>
    <cellStyle name="20% - Accent5 4" xfId="20" xr:uid="{00000000-0005-0000-0000-000013000000}"/>
    <cellStyle name="20% - Accent6" xfId="21" builtinId="50" customBuiltin="1"/>
    <cellStyle name="20% - Accent6 2" xfId="22" xr:uid="{00000000-0005-0000-0000-000015000000}"/>
    <cellStyle name="20% - Accent6 3" xfId="23" xr:uid="{00000000-0005-0000-0000-000016000000}"/>
    <cellStyle name="20% - Accent6 4" xfId="24" xr:uid="{00000000-0005-0000-0000-000017000000}"/>
    <cellStyle name="40% - Accent1" xfId="25" builtinId="31" customBuiltin="1"/>
    <cellStyle name="40% - Accent1 2" xfId="26" xr:uid="{00000000-0005-0000-0000-000019000000}"/>
    <cellStyle name="40% - Accent1 3" xfId="27" xr:uid="{00000000-0005-0000-0000-00001A000000}"/>
    <cellStyle name="40% - Accent1 4" xfId="28" xr:uid="{00000000-0005-0000-0000-00001B000000}"/>
    <cellStyle name="40% - Accent2" xfId="29" builtinId="35" customBuiltin="1"/>
    <cellStyle name="40% - Accent2 2" xfId="30" xr:uid="{00000000-0005-0000-0000-00001D000000}"/>
    <cellStyle name="40% - Accent2 3" xfId="31" xr:uid="{00000000-0005-0000-0000-00001E000000}"/>
    <cellStyle name="40% - Accent2 4" xfId="32" xr:uid="{00000000-0005-0000-0000-00001F000000}"/>
    <cellStyle name="40% - Accent3" xfId="33" builtinId="39" customBuiltin="1"/>
    <cellStyle name="40% - Accent3 2" xfId="34" xr:uid="{00000000-0005-0000-0000-000021000000}"/>
    <cellStyle name="40% - Accent3 3" xfId="35" xr:uid="{00000000-0005-0000-0000-000022000000}"/>
    <cellStyle name="40% - Accent3 4" xfId="36" xr:uid="{00000000-0005-0000-0000-000023000000}"/>
    <cellStyle name="40% - Accent4" xfId="37" builtinId="43" customBuiltin="1"/>
    <cellStyle name="40% - Accent4 2" xfId="38" xr:uid="{00000000-0005-0000-0000-000025000000}"/>
    <cellStyle name="40% - Accent4 3" xfId="39" xr:uid="{00000000-0005-0000-0000-000026000000}"/>
    <cellStyle name="40% - Accent4 4" xfId="40" xr:uid="{00000000-0005-0000-0000-000027000000}"/>
    <cellStyle name="40% - Accent5" xfId="41" builtinId="47" customBuiltin="1"/>
    <cellStyle name="40% - Accent5 2" xfId="42" xr:uid="{00000000-0005-0000-0000-000029000000}"/>
    <cellStyle name="40% - Accent5 3" xfId="43" xr:uid="{00000000-0005-0000-0000-00002A000000}"/>
    <cellStyle name="40% - Accent5 4" xfId="44" xr:uid="{00000000-0005-0000-0000-00002B000000}"/>
    <cellStyle name="40% - Accent6" xfId="45" builtinId="51" customBuiltin="1"/>
    <cellStyle name="40% - Accent6 2" xfId="46" xr:uid="{00000000-0005-0000-0000-00002D000000}"/>
    <cellStyle name="40% - Accent6 3" xfId="47" xr:uid="{00000000-0005-0000-0000-00002E000000}"/>
    <cellStyle name="40% - Accent6 4" xfId="48" xr:uid="{00000000-0005-0000-0000-00002F000000}"/>
    <cellStyle name="60% - Accent1" xfId="49" builtinId="32" customBuiltin="1"/>
    <cellStyle name="60% - Accent1 2" xfId="50" xr:uid="{00000000-0005-0000-0000-000031000000}"/>
    <cellStyle name="60% - Accent1 3" xfId="51" xr:uid="{00000000-0005-0000-0000-000032000000}"/>
    <cellStyle name="60% - Accent1 4" xfId="52" xr:uid="{00000000-0005-0000-0000-000033000000}"/>
    <cellStyle name="60% - Accent2" xfId="53" builtinId="36" customBuiltin="1"/>
    <cellStyle name="60% - Accent2 2" xfId="54" xr:uid="{00000000-0005-0000-0000-000035000000}"/>
    <cellStyle name="60% - Accent2 3" xfId="55" xr:uid="{00000000-0005-0000-0000-000036000000}"/>
    <cellStyle name="60% - Accent2 4" xfId="56" xr:uid="{00000000-0005-0000-0000-000037000000}"/>
    <cellStyle name="60% - Accent3" xfId="57" builtinId="40" customBuiltin="1"/>
    <cellStyle name="60% - Accent3 2" xfId="58" xr:uid="{00000000-0005-0000-0000-000039000000}"/>
    <cellStyle name="60% - Accent3 3" xfId="59" xr:uid="{00000000-0005-0000-0000-00003A000000}"/>
    <cellStyle name="60% - Accent3 4" xfId="60" xr:uid="{00000000-0005-0000-0000-00003B000000}"/>
    <cellStyle name="60% - Accent4" xfId="61" builtinId="44" customBuiltin="1"/>
    <cellStyle name="60% - Accent4 2" xfId="62" xr:uid="{00000000-0005-0000-0000-00003D000000}"/>
    <cellStyle name="60% - Accent4 3" xfId="63" xr:uid="{00000000-0005-0000-0000-00003E000000}"/>
    <cellStyle name="60% - Accent4 4" xfId="64" xr:uid="{00000000-0005-0000-0000-00003F000000}"/>
    <cellStyle name="60% - Accent5" xfId="65" builtinId="48" customBuiltin="1"/>
    <cellStyle name="60% - Accent5 2" xfId="66" xr:uid="{00000000-0005-0000-0000-000041000000}"/>
    <cellStyle name="60% - Accent5 3" xfId="67" xr:uid="{00000000-0005-0000-0000-000042000000}"/>
    <cellStyle name="60% - Accent5 4" xfId="68" xr:uid="{00000000-0005-0000-0000-000043000000}"/>
    <cellStyle name="60% - Accent6" xfId="69" builtinId="52" customBuiltin="1"/>
    <cellStyle name="60% - Accent6 2" xfId="70" xr:uid="{00000000-0005-0000-0000-000045000000}"/>
    <cellStyle name="60% - Accent6 3" xfId="71" xr:uid="{00000000-0005-0000-0000-000046000000}"/>
    <cellStyle name="60% - Accent6 4" xfId="72" xr:uid="{00000000-0005-0000-0000-000047000000}"/>
    <cellStyle name="Accent1" xfId="73" builtinId="29" customBuiltin="1"/>
    <cellStyle name="Accent1 2" xfId="74" xr:uid="{00000000-0005-0000-0000-000049000000}"/>
    <cellStyle name="Accent1 3" xfId="75" xr:uid="{00000000-0005-0000-0000-00004A000000}"/>
    <cellStyle name="Accent1 4" xfId="76" xr:uid="{00000000-0005-0000-0000-00004B000000}"/>
    <cellStyle name="Accent2" xfId="77" builtinId="33" customBuiltin="1"/>
    <cellStyle name="Accent2 2" xfId="78" xr:uid="{00000000-0005-0000-0000-00004D000000}"/>
    <cellStyle name="Accent2 3" xfId="79" xr:uid="{00000000-0005-0000-0000-00004E000000}"/>
    <cellStyle name="Accent2 4" xfId="80" xr:uid="{00000000-0005-0000-0000-00004F000000}"/>
    <cellStyle name="Accent3" xfId="81" builtinId="37" customBuiltin="1"/>
    <cellStyle name="Accent3 2" xfId="82" xr:uid="{00000000-0005-0000-0000-000051000000}"/>
    <cellStyle name="Accent3 3" xfId="83" xr:uid="{00000000-0005-0000-0000-000052000000}"/>
    <cellStyle name="Accent3 4" xfId="84" xr:uid="{00000000-0005-0000-0000-000053000000}"/>
    <cellStyle name="Accent4" xfId="85" builtinId="41" customBuiltin="1"/>
    <cellStyle name="Accent4 2" xfId="86" xr:uid="{00000000-0005-0000-0000-000055000000}"/>
    <cellStyle name="Accent4 3" xfId="87" xr:uid="{00000000-0005-0000-0000-000056000000}"/>
    <cellStyle name="Accent4 4" xfId="88" xr:uid="{00000000-0005-0000-0000-000057000000}"/>
    <cellStyle name="Accent5" xfId="89" builtinId="45" customBuiltin="1"/>
    <cellStyle name="Accent5 2" xfId="90" xr:uid="{00000000-0005-0000-0000-000059000000}"/>
    <cellStyle name="Accent5 3" xfId="91" xr:uid="{00000000-0005-0000-0000-00005A000000}"/>
    <cellStyle name="Accent5 4" xfId="92" xr:uid="{00000000-0005-0000-0000-00005B000000}"/>
    <cellStyle name="Accent6" xfId="93" builtinId="49" customBuiltin="1"/>
    <cellStyle name="Accent6 2" xfId="94" xr:uid="{00000000-0005-0000-0000-00005D000000}"/>
    <cellStyle name="Accent6 3" xfId="95" xr:uid="{00000000-0005-0000-0000-00005E000000}"/>
    <cellStyle name="Accent6 4" xfId="96" xr:uid="{00000000-0005-0000-0000-00005F000000}"/>
    <cellStyle name="Bad" xfId="97" builtinId="27" customBuiltin="1"/>
    <cellStyle name="Bad 2" xfId="98" xr:uid="{00000000-0005-0000-0000-000061000000}"/>
    <cellStyle name="Bad 3" xfId="99" xr:uid="{00000000-0005-0000-0000-000062000000}"/>
    <cellStyle name="Bad 4" xfId="100" xr:uid="{00000000-0005-0000-0000-000063000000}"/>
    <cellStyle name="Calculation" xfId="101" builtinId="22" customBuiltin="1"/>
    <cellStyle name="Calculation 2" xfId="102" xr:uid="{00000000-0005-0000-0000-000065000000}"/>
    <cellStyle name="Calculation 3" xfId="103" xr:uid="{00000000-0005-0000-0000-000066000000}"/>
    <cellStyle name="Calculation 4" xfId="104" xr:uid="{00000000-0005-0000-0000-000067000000}"/>
    <cellStyle name="Check Cell" xfId="105" builtinId="23" customBuiltin="1"/>
    <cellStyle name="Check Cell 2" xfId="106" xr:uid="{00000000-0005-0000-0000-000069000000}"/>
    <cellStyle name="Check Cell 3" xfId="107" xr:uid="{00000000-0005-0000-0000-00006A000000}"/>
    <cellStyle name="Check Cell 4" xfId="108" xr:uid="{00000000-0005-0000-0000-00006B000000}"/>
    <cellStyle name="Comma" xfId="179" builtinId="3"/>
    <cellStyle name="Currency 2" xfId="109" xr:uid="{00000000-0005-0000-0000-00006D000000}"/>
    <cellStyle name="Explanatory Text" xfId="110" builtinId="53" customBuiltin="1"/>
    <cellStyle name="Explanatory Text 2" xfId="111" xr:uid="{00000000-0005-0000-0000-00006F000000}"/>
    <cellStyle name="Explanatory Text 3" xfId="112" xr:uid="{00000000-0005-0000-0000-000070000000}"/>
    <cellStyle name="Explanatory Text 4" xfId="113" xr:uid="{00000000-0005-0000-0000-000071000000}"/>
    <cellStyle name="Good" xfId="114" builtinId="26" customBuiltin="1"/>
    <cellStyle name="Good 2" xfId="115" xr:uid="{00000000-0005-0000-0000-000073000000}"/>
    <cellStyle name="Good 3" xfId="116" xr:uid="{00000000-0005-0000-0000-000074000000}"/>
    <cellStyle name="Good 4" xfId="117" xr:uid="{00000000-0005-0000-0000-000075000000}"/>
    <cellStyle name="Heading 1" xfId="118" builtinId="16" customBuiltin="1"/>
    <cellStyle name="Heading 1 2" xfId="119" xr:uid="{00000000-0005-0000-0000-000077000000}"/>
    <cellStyle name="Heading 1 3" xfId="120" xr:uid="{00000000-0005-0000-0000-000078000000}"/>
    <cellStyle name="Heading 1 4" xfId="121" xr:uid="{00000000-0005-0000-0000-000079000000}"/>
    <cellStyle name="Heading 2" xfId="122" builtinId="17" customBuiltin="1"/>
    <cellStyle name="Heading 2 2" xfId="123" xr:uid="{00000000-0005-0000-0000-00007B000000}"/>
    <cellStyle name="Heading 2 3" xfId="124" xr:uid="{00000000-0005-0000-0000-00007C000000}"/>
    <cellStyle name="Heading 2 4" xfId="125" xr:uid="{00000000-0005-0000-0000-00007D000000}"/>
    <cellStyle name="Heading 3" xfId="126" builtinId="18" customBuiltin="1"/>
    <cellStyle name="Heading 3 2" xfId="127" xr:uid="{00000000-0005-0000-0000-00007F000000}"/>
    <cellStyle name="Heading 3 3" xfId="128" xr:uid="{00000000-0005-0000-0000-000080000000}"/>
    <cellStyle name="Heading 3 4" xfId="129" xr:uid="{00000000-0005-0000-0000-000081000000}"/>
    <cellStyle name="Heading 4" xfId="130" builtinId="19" customBuiltin="1"/>
    <cellStyle name="Heading 4 2" xfId="131" xr:uid="{00000000-0005-0000-0000-000083000000}"/>
    <cellStyle name="Heading 4 3" xfId="132" xr:uid="{00000000-0005-0000-0000-000084000000}"/>
    <cellStyle name="Heading 4 4" xfId="133" xr:uid="{00000000-0005-0000-0000-000085000000}"/>
    <cellStyle name="Hyperlink" xfId="134" builtinId="8"/>
    <cellStyle name="Hyperlink 2" xfId="135" xr:uid="{00000000-0005-0000-0000-000087000000}"/>
    <cellStyle name="Hyperlink 2 2" xfId="136" xr:uid="{00000000-0005-0000-0000-000088000000}"/>
    <cellStyle name="Input" xfId="137" builtinId="20" customBuiltin="1"/>
    <cellStyle name="Input 2" xfId="138" xr:uid="{00000000-0005-0000-0000-00008A000000}"/>
    <cellStyle name="Input 3" xfId="139" xr:uid="{00000000-0005-0000-0000-00008B000000}"/>
    <cellStyle name="Input 4" xfId="140" xr:uid="{00000000-0005-0000-0000-00008C000000}"/>
    <cellStyle name="Linked Cell" xfId="141" builtinId="24" customBuiltin="1"/>
    <cellStyle name="Linked Cell 2" xfId="142" xr:uid="{00000000-0005-0000-0000-00008E000000}"/>
    <cellStyle name="Linked Cell 3" xfId="143" xr:uid="{00000000-0005-0000-0000-00008F000000}"/>
    <cellStyle name="Linked Cell 4" xfId="144" xr:uid="{00000000-0005-0000-0000-000090000000}"/>
    <cellStyle name="Neutral" xfId="145" builtinId="28" customBuiltin="1"/>
    <cellStyle name="Neutral 2" xfId="146" xr:uid="{00000000-0005-0000-0000-000092000000}"/>
    <cellStyle name="Neutral 3" xfId="147" xr:uid="{00000000-0005-0000-0000-000093000000}"/>
    <cellStyle name="Neutral 4" xfId="148" xr:uid="{00000000-0005-0000-0000-000094000000}"/>
    <cellStyle name="Normal" xfId="0" builtinId="0"/>
    <cellStyle name="Normal 2" xfId="149" xr:uid="{00000000-0005-0000-0000-000096000000}"/>
    <cellStyle name="Normal 2 2" xfId="150" xr:uid="{00000000-0005-0000-0000-000097000000}"/>
    <cellStyle name="Normal 3" xfId="151" xr:uid="{00000000-0005-0000-0000-000098000000}"/>
    <cellStyle name="Normal 4" xfId="152" xr:uid="{00000000-0005-0000-0000-000099000000}"/>
    <cellStyle name="Normal 5" xfId="153" xr:uid="{00000000-0005-0000-0000-00009A000000}"/>
    <cellStyle name="Normal 5 2" xfId="154" xr:uid="{00000000-0005-0000-0000-00009B000000}"/>
    <cellStyle name="Normal 6" xfId="155" xr:uid="{00000000-0005-0000-0000-00009C000000}"/>
    <cellStyle name="Normal 7" xfId="156" xr:uid="{00000000-0005-0000-0000-00009D000000}"/>
    <cellStyle name="Normal 8" xfId="157" xr:uid="{00000000-0005-0000-0000-00009E000000}"/>
    <cellStyle name="Normal 9" xfId="158" xr:uid="{00000000-0005-0000-0000-00009F000000}"/>
    <cellStyle name="Note" xfId="159" builtinId="10" customBuiltin="1"/>
    <cellStyle name="Note 2" xfId="160" xr:uid="{00000000-0005-0000-0000-0000A1000000}"/>
    <cellStyle name="Note 3" xfId="161" xr:uid="{00000000-0005-0000-0000-0000A2000000}"/>
    <cellStyle name="Note 4" xfId="162" xr:uid="{00000000-0005-0000-0000-0000A3000000}"/>
    <cellStyle name="Output" xfId="163" builtinId="21" customBuiltin="1"/>
    <cellStyle name="Output 2" xfId="164" xr:uid="{00000000-0005-0000-0000-0000A5000000}"/>
    <cellStyle name="Output 3" xfId="165" xr:uid="{00000000-0005-0000-0000-0000A6000000}"/>
    <cellStyle name="Output 4" xfId="166" xr:uid="{00000000-0005-0000-0000-0000A7000000}"/>
    <cellStyle name="Title" xfId="167" builtinId="15" customBuiltin="1"/>
    <cellStyle name="Title 2" xfId="168" xr:uid="{00000000-0005-0000-0000-0000A9000000}"/>
    <cellStyle name="Title 3" xfId="169" xr:uid="{00000000-0005-0000-0000-0000AA000000}"/>
    <cellStyle name="Title 4" xfId="170" xr:uid="{00000000-0005-0000-0000-0000AB000000}"/>
    <cellStyle name="Total" xfId="171" builtinId="25" customBuiltin="1"/>
    <cellStyle name="Total 2" xfId="172" xr:uid="{00000000-0005-0000-0000-0000AD000000}"/>
    <cellStyle name="Total 3" xfId="173" xr:uid="{00000000-0005-0000-0000-0000AE000000}"/>
    <cellStyle name="Total 4" xfId="174" xr:uid="{00000000-0005-0000-0000-0000AF000000}"/>
    <cellStyle name="Warning Text" xfId="175" builtinId="11" customBuiltin="1"/>
    <cellStyle name="Warning Text 2" xfId="176" xr:uid="{00000000-0005-0000-0000-0000B1000000}"/>
    <cellStyle name="Warning Text 3" xfId="177" xr:uid="{00000000-0005-0000-0000-0000B2000000}"/>
    <cellStyle name="Warning Text 4" xfId="178" xr:uid="{00000000-0005-0000-0000-0000B3000000}"/>
  </cellStyles>
  <dxfs count="124">
    <dxf>
      <font>
        <color rgb="FF9C0006"/>
      </font>
      <fill>
        <patternFill>
          <bgColor rgb="FFFFC7CE"/>
        </patternFill>
      </fill>
    </dxf>
    <dxf>
      <font>
        <color rgb="FF9C0006"/>
      </font>
      <fill>
        <patternFill>
          <bgColor rgb="FFFFC7CE"/>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condense val="0"/>
        <extend val="0"/>
        <color indexed="10"/>
      </font>
      <fill>
        <patternFill>
          <bgColor indexed="13"/>
        </patternFill>
      </fill>
    </dxf>
    <dxf>
      <fill>
        <patternFill>
          <bgColor indexed="9"/>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ont>
        <color auto="1"/>
      </font>
      <fill>
        <patternFill patternType="solid">
          <bgColor rgb="FFFFC000"/>
        </patternFill>
      </fill>
      <border>
        <top style="thin">
          <color indexed="64"/>
        </top>
      </border>
    </dxf>
    <dxf>
      <font>
        <b/>
        <i val="0"/>
        <color auto="1"/>
      </font>
      <fill>
        <patternFill patternType="solid">
          <bgColor rgb="FFFFC000"/>
        </patternFill>
      </fill>
      <border>
        <top style="thin">
          <color indexed="64"/>
        </top>
        <bottom style="thin">
          <color indexed="64"/>
        </bottom>
      </border>
    </dxf>
    <dxf>
      <font>
        <b/>
        <i val="0"/>
        <color theme="1"/>
      </font>
      <fill>
        <patternFill patternType="solid">
          <bgColor rgb="FFFFC000"/>
        </patternFill>
      </fill>
      <border>
        <top style="thin">
          <color indexed="64"/>
        </top>
      </border>
    </dxf>
    <dxf>
      <font>
        <b/>
        <i val="0"/>
        <color theme="1"/>
      </font>
      <fill>
        <patternFill>
          <bgColor rgb="FFFFC000"/>
        </patternFill>
      </fill>
      <border>
        <left style="thin">
          <color indexed="64"/>
        </left>
      </border>
    </dxf>
    <dxf>
      <font>
        <b/>
        <i val="0"/>
        <color theme="1"/>
      </font>
      <fill>
        <patternFill patternType="solid">
          <bgColor rgb="FFFFC000"/>
        </patternFill>
      </fill>
      <border>
        <right style="thin">
          <color indexed="64"/>
        </right>
        <top style="thin">
          <color indexed="64"/>
        </top>
      </border>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auto="1"/>
      </font>
      <fill>
        <patternFill patternType="solid">
          <bgColor rgb="FFFFC000"/>
        </patternFill>
      </fill>
      <border>
        <top style="thin">
          <color indexed="64"/>
        </top>
      </border>
    </dxf>
    <dxf>
      <font>
        <b/>
        <i val="0"/>
        <color auto="1"/>
      </font>
      <fill>
        <patternFill patternType="solid">
          <bgColor rgb="FFFFC000"/>
        </patternFill>
      </fill>
      <border>
        <top style="thin">
          <color indexed="64"/>
        </top>
        <bottom style="thin">
          <color indexed="64"/>
        </bottom>
      </border>
    </dxf>
    <dxf>
      <font>
        <b/>
        <i val="0"/>
        <color theme="1"/>
      </font>
      <fill>
        <patternFill patternType="solid">
          <bgColor rgb="FFFFC000"/>
        </patternFill>
      </fill>
      <border>
        <top style="thin">
          <color indexed="64"/>
        </top>
      </border>
    </dxf>
    <dxf>
      <font>
        <b/>
        <i val="0"/>
        <color theme="1"/>
      </font>
      <fill>
        <patternFill>
          <bgColor rgb="FFFFC000"/>
        </patternFill>
      </fill>
      <border>
        <left style="thin">
          <color indexed="64"/>
        </left>
      </border>
    </dxf>
    <dxf>
      <font>
        <b/>
        <i val="0"/>
        <color theme="1"/>
      </font>
      <fill>
        <patternFill patternType="solid">
          <bgColor rgb="FFFFC000"/>
        </patternFill>
      </fill>
      <border>
        <right style="thin">
          <color indexed="64"/>
        </right>
        <top style="thin">
          <color indexed="64"/>
        </top>
      </border>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val="0"/>
        <i val="0"/>
        <condense val="0"/>
        <extend val="0"/>
        <color indexed="10"/>
      </font>
      <fill>
        <patternFill>
          <bgColor indexed="13"/>
        </patternFill>
      </fill>
    </dxf>
    <dxf>
      <font>
        <b val="0"/>
        <i val="0"/>
        <condense val="0"/>
        <extend val="0"/>
        <color indexed="10"/>
      </font>
      <fill>
        <patternFill>
          <bgColor indexed="13"/>
        </patternFill>
      </fill>
    </dxf>
    <dxf>
      <fill>
        <patternFill>
          <bgColor indexed="1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EAEAEA"/>
      <rgbColor rgb="00333399"/>
      <rgbColor rgb="00333333"/>
    </indexedColors>
    <mruColors>
      <color rgb="FFCCFFCC"/>
      <color rgb="FF0000FF"/>
      <color rgb="FF800000"/>
      <color rgb="FFEAEAEA"/>
      <color rgb="FFDDDDDD"/>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304801</xdr:colOff>
      <xdr:row>13</xdr:row>
      <xdr:rowOff>352423</xdr:rowOff>
    </xdr:from>
    <xdr:to>
      <xdr:col>9</xdr:col>
      <xdr:colOff>411481</xdr:colOff>
      <xdr:row>15</xdr:row>
      <xdr:rowOff>505723</xdr:rowOff>
    </xdr:to>
    <xdr:pic>
      <xdr:nvPicPr>
        <xdr:cNvPr id="1859" name="Picture 1" descr="Minnesota Department of Health logo">
          <a:extLst>
            <a:ext uri="{FF2B5EF4-FFF2-40B4-BE49-F238E27FC236}">
              <a16:creationId xmlns:a16="http://schemas.microsoft.com/office/drawing/2014/main" id="{00000000-0008-0000-0300-00004307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72001" y="7696198"/>
          <a:ext cx="1325880" cy="85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s://www.revisor.leg.state.mn.us/statutes/?id=256B.0625" TargetMode="External"/><Relationship Id="rId2" Type="http://schemas.openxmlformats.org/officeDocument/2006/relationships/hyperlink" Target="http://www.revisor.leg.state.mn.us/bin/getpub.php?pubtype=STAT_CHAP_SEC&amp;year=current&amp;section=144.565&amp;image.x=27&amp;image.y=11" TargetMode="External"/><Relationship Id="rId1" Type="http://schemas.openxmlformats.org/officeDocument/2006/relationships/hyperlink" Target="http://www.cms.hhs.gov/NationalProvIdentStand/" TargetMode="External"/><Relationship Id="rId4"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revisor.leg.state.mn.us/statutes/?id=62J.17" TargetMode="External"/><Relationship Id="rId7" Type="http://schemas.openxmlformats.org/officeDocument/2006/relationships/printerSettings" Target="../printerSettings/printerSettings4.bin"/><Relationship Id="rId2" Type="http://schemas.openxmlformats.org/officeDocument/2006/relationships/hyperlink" Target="http://www.revisor.leg.state.mn.us/bin/getpub.php?pubtype=STAT_CHAP_SEC&amp;year=current&amp;section=144.565&amp;image.x=27&amp;image.y=11" TargetMode="External"/><Relationship Id="rId1" Type="http://schemas.openxmlformats.org/officeDocument/2006/relationships/hyperlink" Target="mailto:health.hccis@state.mn.us" TargetMode="External"/><Relationship Id="rId6" Type="http://schemas.openxmlformats.org/officeDocument/2006/relationships/hyperlink" Target="https://www.revisor.mn.gov/statutes/?id=144&amp;view=chapter&amp;year=2012&amp;keyword_type=all&amp;keyword=144.1225" TargetMode="External"/><Relationship Id="rId5" Type="http://schemas.openxmlformats.org/officeDocument/2006/relationships/hyperlink" Target="http://www.revisor.leg.state.mn.us/bin/getpub.php?pubtype=STAT_CHAP_SEC&amp;year=current&amp;section=144.565&amp;image.x=27&amp;image.y=11" TargetMode="External"/><Relationship Id="rId4" Type="http://schemas.openxmlformats.org/officeDocument/2006/relationships/hyperlink" Target="https://www.revisor.mn.gov/statutes/?id=144&amp;view=chapter&amp;year=2012&amp;keyword_type=all&amp;keyword=144.1225"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revisor.mn.gov/statutes/?id=144&amp;view=chapter&amp;year=2012&amp;keyword_type=all&amp;keyword=144.1225"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O73"/>
  <sheetViews>
    <sheetView zoomScaleNormal="100" workbookViewId="0">
      <selection sqref="A1:K1"/>
    </sheetView>
  </sheetViews>
  <sheetFormatPr defaultColWidth="8.85546875" defaultRowHeight="12.75" x14ac:dyDescent="0.2"/>
  <cols>
    <col min="1" max="1" width="5" style="16" customWidth="1"/>
    <col min="2" max="2" width="20.28515625" style="55" customWidth="1"/>
    <col min="3" max="3" width="11.85546875" style="18" hidden="1" customWidth="1"/>
    <col min="4" max="4" width="13.85546875" style="18" hidden="1" customWidth="1"/>
    <col min="5" max="5" width="44.28515625" style="18" customWidth="1"/>
    <col min="6" max="6" width="4.140625" style="18" customWidth="1"/>
    <col min="7" max="7" width="5" style="16" customWidth="1"/>
    <col min="8" max="8" width="17.5703125" style="18" bestFit="1" customWidth="1"/>
    <col min="9" max="9" width="11" style="18" hidden="1" customWidth="1"/>
    <col min="10" max="10" width="13.140625" style="18" hidden="1" customWidth="1"/>
    <col min="11" max="11" width="44.28515625" style="18" customWidth="1"/>
    <col min="12" max="12" width="16.7109375" style="18" customWidth="1"/>
    <col min="13" max="13" width="11" style="18" customWidth="1"/>
    <col min="14" max="16384" width="8.85546875" style="18"/>
  </cols>
  <sheetData>
    <row r="1" spans="1:15" ht="41.25" customHeight="1" thickBot="1" x14ac:dyDescent="0.25">
      <c r="A1" s="16" t="s">
        <v>22</v>
      </c>
      <c r="B1" s="17" t="str">
        <f>CONCATENATE("HCCIS ID: ",'Demog Contact'!D5)</f>
        <v xml:space="preserve">HCCIS ID: </v>
      </c>
      <c r="C1" s="18" t="s">
        <v>299</v>
      </c>
      <c r="D1" s="18" t="s">
        <v>298</v>
      </c>
      <c r="E1" s="454" t="str">
        <f>CONCATENATE('Demog Contact'!L1," Change")</f>
        <v>2024 Change</v>
      </c>
      <c r="F1" s="19"/>
      <c r="G1" s="16" t="s">
        <v>22</v>
      </c>
      <c r="I1" s="18" t="s">
        <v>299</v>
      </c>
      <c r="J1" s="18" t="s">
        <v>298</v>
      </c>
      <c r="K1" s="454" t="str">
        <f>CONCATENATE('Demog Contact'!L1," Change")</f>
        <v>2024 Change</v>
      </c>
      <c r="L1" s="20" t="s">
        <v>163</v>
      </c>
      <c r="O1" s="19"/>
    </row>
    <row r="2" spans="1:15" x14ac:dyDescent="0.2">
      <c r="A2" s="16">
        <v>1</v>
      </c>
      <c r="B2" s="609" t="s">
        <v>357</v>
      </c>
      <c r="C2" s="603"/>
      <c r="D2" s="603"/>
      <c r="E2" s="21" t="str">
        <f>CONCATENATE("HCCIS ID: ",'Demog Contact (2)'!D5)</f>
        <v>HCCIS ID: 0</v>
      </c>
      <c r="F2" s="22"/>
      <c r="H2" s="609" t="s">
        <v>357</v>
      </c>
      <c r="I2" s="610"/>
      <c r="J2" s="610"/>
      <c r="K2" s="611"/>
      <c r="M2" s="19" t="s">
        <v>768</v>
      </c>
    </row>
    <row r="3" spans="1:15" x14ac:dyDescent="0.2">
      <c r="A3" s="16">
        <v>2</v>
      </c>
      <c r="B3" s="23" t="s">
        <v>207</v>
      </c>
      <c r="C3" s="24" t="e">
        <f>'Demog Contact'!D6</f>
        <v>#N/A</v>
      </c>
      <c r="D3" s="25" t="e">
        <f>'Demog Contact (2)'!D6</f>
        <v>#N/A</v>
      </c>
      <c r="E3" s="26" t="e">
        <f t="shared" ref="E3:E18" si="0">IF(EXACT(C3,D3),"",C3)</f>
        <v>#N/A</v>
      </c>
      <c r="F3" s="27"/>
      <c r="G3" s="28">
        <v>91</v>
      </c>
      <c r="H3" s="29" t="s">
        <v>87</v>
      </c>
      <c r="I3" s="30" t="e">
        <f>'Demog Contact'!I6</f>
        <v>#N/A</v>
      </c>
      <c r="J3" s="30" t="e">
        <f>'Demog Contact (2)'!I6</f>
        <v>#N/A</v>
      </c>
      <c r="K3" s="31" t="e">
        <f>IF(EXACT(I3,J3),"",I3)</f>
        <v>#N/A</v>
      </c>
      <c r="M3" s="19" t="s">
        <v>722</v>
      </c>
    </row>
    <row r="4" spans="1:15" ht="13.5" thickBot="1" x14ac:dyDescent="0.25">
      <c r="A4" s="16">
        <v>4</v>
      </c>
      <c r="B4" s="608" t="s">
        <v>360</v>
      </c>
      <c r="C4" s="585" t="e">
        <f>'Demog Contact'!D7</f>
        <v>#N/A</v>
      </c>
      <c r="D4" s="581" t="e">
        <f>'Demog Contact (2)'!D7</f>
        <v>#N/A</v>
      </c>
      <c r="E4" s="582" t="e">
        <f>IF(EXACT(C4,D4),"",C4)</f>
        <v>#N/A</v>
      </c>
      <c r="F4" s="27"/>
      <c r="G4" s="32">
        <v>99</v>
      </c>
      <c r="H4" s="33" t="s">
        <v>251</v>
      </c>
      <c r="I4" s="34" t="str">
        <f>'Demog Contact'!J15</f>
        <v/>
      </c>
      <c r="J4" s="34" t="str">
        <f>'Demog Contact (2)'!J15</f>
        <v/>
      </c>
      <c r="K4" s="35" t="str">
        <f>IF(EXACT(I4,J4),"",I4)</f>
        <v/>
      </c>
      <c r="M4" s="51" t="str">
        <f>IF(ISBLANK('Demog Contact'!C28),"No Signature - audit excl 110.38","Signature Provided")</f>
        <v>No Signature - audit excl 110.38</v>
      </c>
    </row>
    <row r="5" spans="1:15" ht="13.5" thickBot="1" x14ac:dyDescent="0.25">
      <c r="A5" s="16">
        <v>5</v>
      </c>
      <c r="B5" s="584"/>
      <c r="C5" s="585"/>
      <c r="D5" s="589"/>
      <c r="E5" s="582"/>
      <c r="F5" s="27"/>
      <c r="I5" s="36"/>
      <c r="J5" s="36"/>
      <c r="K5" s="37"/>
    </row>
    <row r="6" spans="1:15" x14ac:dyDescent="0.2">
      <c r="A6" s="16">
        <v>3</v>
      </c>
      <c r="B6" s="23" t="s">
        <v>128</v>
      </c>
      <c r="C6" s="36" t="e">
        <f>'Demog Contact'!D8</f>
        <v>#N/A</v>
      </c>
      <c r="D6" s="24" t="e">
        <f>'Demog Contact (2)'!D8</f>
        <v>#N/A</v>
      </c>
      <c r="E6" s="26" t="e">
        <f>IF(EXACT(C6,D6),"",C6)</f>
        <v>#N/A</v>
      </c>
      <c r="F6" s="27"/>
      <c r="G6" s="16">
        <v>97</v>
      </c>
      <c r="H6" s="38" t="s">
        <v>296</v>
      </c>
      <c r="I6" s="39" t="e">
        <f>'Demog Contact'!J13</f>
        <v>#N/A</v>
      </c>
      <c r="J6" s="39" t="e">
        <f>'Demog Contact (2)'!J13</f>
        <v>#N/A</v>
      </c>
      <c r="K6" s="40" t="e">
        <f>IF(EXACT(I6,J6),"",I6)</f>
        <v>#N/A</v>
      </c>
    </row>
    <row r="7" spans="1:15" ht="13.5" thickBot="1" x14ac:dyDescent="0.25">
      <c r="A7" s="16">
        <v>6</v>
      </c>
      <c r="B7" s="23" t="s">
        <v>135</v>
      </c>
      <c r="C7" s="36" t="e">
        <f>'Demog Contact'!D9</f>
        <v>#N/A</v>
      </c>
      <c r="D7" s="24" t="e">
        <f>'Demog Contact (2)'!D9</f>
        <v>#N/A</v>
      </c>
      <c r="E7" s="26" t="e">
        <f t="shared" si="0"/>
        <v>#N/A</v>
      </c>
      <c r="F7" s="27"/>
      <c r="G7" s="16">
        <v>98</v>
      </c>
      <c r="H7" s="33" t="s">
        <v>23</v>
      </c>
      <c r="I7" s="34" t="e">
        <f>'Demog Contact'!J14</f>
        <v>#N/A</v>
      </c>
      <c r="J7" s="34" t="e">
        <f>'Demog Contact (2)'!J14</f>
        <v>#N/A</v>
      </c>
      <c r="K7" s="35" t="e">
        <f>IF(EXACT(I7,J7),"",I7)</f>
        <v>#N/A</v>
      </c>
    </row>
    <row r="8" spans="1:15" x14ac:dyDescent="0.2">
      <c r="A8" s="16">
        <v>7</v>
      </c>
      <c r="B8" s="23" t="s">
        <v>136</v>
      </c>
      <c r="C8" s="24" t="e">
        <f>'Demog Contact'!D10</f>
        <v>#N/A</v>
      </c>
      <c r="D8" s="24" t="e">
        <f>'Demog Contact (2)'!D10</f>
        <v>#N/A</v>
      </c>
      <c r="E8" s="26" t="e">
        <f t="shared" si="0"/>
        <v>#N/A</v>
      </c>
      <c r="F8" s="27"/>
      <c r="I8" s="36"/>
      <c r="J8" s="36"/>
      <c r="K8" s="37"/>
    </row>
    <row r="9" spans="1:15" ht="13.5" thickBot="1" x14ac:dyDescent="0.25">
      <c r="A9" s="16">
        <v>8</v>
      </c>
      <c r="B9" s="608" t="s">
        <v>16</v>
      </c>
      <c r="C9" s="580" t="e">
        <f>'Demog Contact'!D11</f>
        <v>#N/A</v>
      </c>
      <c r="D9" s="581" t="e">
        <f>'Demog Contact (2)'!D11</f>
        <v>#N/A</v>
      </c>
      <c r="E9" s="582" t="e">
        <f t="shared" si="0"/>
        <v>#N/A</v>
      </c>
      <c r="F9" s="27"/>
      <c r="I9" s="36"/>
      <c r="J9" s="36"/>
      <c r="K9" s="37"/>
    </row>
    <row r="10" spans="1:15" x14ac:dyDescent="0.2">
      <c r="A10" s="16">
        <v>9</v>
      </c>
      <c r="B10" s="579"/>
      <c r="C10" s="580"/>
      <c r="D10" s="581" t="e">
        <v>#N/A</v>
      </c>
      <c r="E10" s="582" t="e">
        <f t="shared" si="0"/>
        <v>#N/A</v>
      </c>
      <c r="F10" s="41"/>
      <c r="G10" s="16">
        <v>85</v>
      </c>
      <c r="H10" s="38" t="s">
        <v>350</v>
      </c>
      <c r="I10" s="42" t="e">
        <f>'Demog Contact'!D21</f>
        <v>#N/A</v>
      </c>
      <c r="J10" s="42" t="e">
        <f>'Demog Contact (2)'!D21</f>
        <v>#N/A</v>
      </c>
      <c r="K10" s="43" t="e">
        <f t="shared" ref="K10:K15" si="1">IF(EXACT(I10,J10),"",I10)</f>
        <v>#N/A</v>
      </c>
    </row>
    <row r="11" spans="1:15" x14ac:dyDescent="0.2">
      <c r="A11" s="16">
        <v>17</v>
      </c>
      <c r="B11" s="23" t="s">
        <v>44</v>
      </c>
      <c r="C11" s="36" t="e">
        <f>'Demog Contact'!D12</f>
        <v>#N/A</v>
      </c>
      <c r="D11" s="36" t="e">
        <f>'Demog Contact (2)'!D12</f>
        <v>#N/A</v>
      </c>
      <c r="E11" s="44" t="e">
        <f t="shared" si="0"/>
        <v>#N/A</v>
      </c>
      <c r="F11" s="41"/>
      <c r="G11" s="16">
        <v>86</v>
      </c>
      <c r="H11" s="23" t="s">
        <v>351</v>
      </c>
      <c r="I11" s="45" t="e">
        <f>'Demog Contact'!S21</f>
        <v>#N/A</v>
      </c>
      <c r="J11" s="25" t="e">
        <f>'Demog Contact (2)'!S21</f>
        <v>#N/A</v>
      </c>
      <c r="K11" s="46" t="e">
        <f t="shared" si="1"/>
        <v>#N/A</v>
      </c>
    </row>
    <row r="12" spans="1:15" ht="12.75" customHeight="1" x14ac:dyDescent="0.2">
      <c r="A12" s="16">
        <v>18</v>
      </c>
      <c r="B12" s="23" t="s">
        <v>45</v>
      </c>
      <c r="C12" s="36" t="e">
        <f>'Demog Contact'!D13</f>
        <v>#N/A</v>
      </c>
      <c r="D12" s="24" t="e">
        <f>'Demog Contact (2)'!D13</f>
        <v>#N/A</v>
      </c>
      <c r="E12" s="44" t="e">
        <f t="shared" si="0"/>
        <v>#N/A</v>
      </c>
      <c r="F12" s="27"/>
      <c r="G12" s="16">
        <v>87</v>
      </c>
      <c r="H12" s="23" t="s">
        <v>352</v>
      </c>
      <c r="I12" s="36" t="e">
        <f>'Demog Contact'!D22</f>
        <v>#N/A</v>
      </c>
      <c r="J12" s="24" t="e">
        <f>'Demog Contact (2)'!D22</f>
        <v>#N/A</v>
      </c>
      <c r="K12" s="46" t="e">
        <f t="shared" si="1"/>
        <v>#N/A</v>
      </c>
    </row>
    <row r="13" spans="1:15" x14ac:dyDescent="0.2">
      <c r="A13" s="32">
        <v>19</v>
      </c>
      <c r="B13" s="608" t="s">
        <v>371</v>
      </c>
      <c r="C13" s="589" t="e">
        <f>'Demog Contact'!D14</f>
        <v>#N/A</v>
      </c>
      <c r="D13" s="581" t="e">
        <f>'Demog Contact (2)'!D14</f>
        <v>#N/A</v>
      </c>
      <c r="E13" s="583" t="e">
        <f t="shared" si="0"/>
        <v>#N/A</v>
      </c>
      <c r="F13" s="47"/>
      <c r="G13" s="16">
        <v>88</v>
      </c>
      <c r="H13" s="23" t="s">
        <v>353</v>
      </c>
      <c r="I13" s="25" t="e">
        <f>'Demog Contact'!S22</f>
        <v>#N/A</v>
      </c>
      <c r="J13" s="25" t="e">
        <f>'Demog Contact (2)'!S22</f>
        <v>#N/A</v>
      </c>
      <c r="K13" s="46" t="e">
        <f t="shared" si="1"/>
        <v>#N/A</v>
      </c>
    </row>
    <row r="14" spans="1:15" x14ac:dyDescent="0.2">
      <c r="A14" s="32">
        <v>20</v>
      </c>
      <c r="B14" s="608"/>
      <c r="C14" s="589"/>
      <c r="D14" s="581" t="e">
        <v>#N/A</v>
      </c>
      <c r="E14" s="582" t="e">
        <f t="shared" si="0"/>
        <v>#N/A</v>
      </c>
      <c r="F14" s="48"/>
      <c r="G14" s="16">
        <v>89</v>
      </c>
      <c r="H14" s="23" t="s">
        <v>354</v>
      </c>
      <c r="I14" s="36" t="e">
        <f>'Demog Contact'!D23</f>
        <v>#N/A</v>
      </c>
      <c r="J14" s="24" t="e">
        <f>'Demog Contact (2)'!D23</f>
        <v>#N/A</v>
      </c>
      <c r="K14" s="46" t="e">
        <f t="shared" si="1"/>
        <v>#N/A</v>
      </c>
    </row>
    <row r="15" spans="1:15" ht="13.5" thickBot="1" x14ac:dyDescent="0.25">
      <c r="A15" s="16">
        <v>21</v>
      </c>
      <c r="B15" s="23" t="s">
        <v>310</v>
      </c>
      <c r="C15" s="24" t="e">
        <f>'Demog Contact'!D15</f>
        <v>#N/A</v>
      </c>
      <c r="D15" s="24" t="e">
        <f>'Demog Contact (2)'!D15</f>
        <v>#N/A</v>
      </c>
      <c r="E15" s="26" t="e">
        <f t="shared" si="0"/>
        <v>#N/A</v>
      </c>
      <c r="F15" s="49"/>
      <c r="G15" s="16">
        <v>90</v>
      </c>
      <c r="H15" s="33" t="s">
        <v>355</v>
      </c>
      <c r="I15" s="50" t="e">
        <f>'Demog Contact'!S23</f>
        <v>#N/A</v>
      </c>
      <c r="J15" s="50" t="e">
        <f>'Demog Contact (2)'!S23</f>
        <v>#N/A</v>
      </c>
      <c r="K15" s="35" t="e">
        <f t="shared" si="1"/>
        <v>#N/A</v>
      </c>
    </row>
    <row r="16" spans="1:15" x14ac:dyDescent="0.2">
      <c r="A16" s="16">
        <v>22</v>
      </c>
      <c r="B16" s="23" t="s">
        <v>311</v>
      </c>
      <c r="C16" s="36" t="e">
        <f>'Demog Contact'!D16</f>
        <v>#N/A</v>
      </c>
      <c r="D16" s="24" t="e">
        <f>'Demog Contact (2)'!D16</f>
        <v>#N/A</v>
      </c>
      <c r="E16" s="26" t="e">
        <f t="shared" si="0"/>
        <v>#N/A</v>
      </c>
      <c r="F16" s="27"/>
    </row>
    <row r="17" spans="1:12" ht="12.75" customHeight="1" x14ac:dyDescent="0.2">
      <c r="A17" s="16">
        <v>23</v>
      </c>
      <c r="B17" s="23" t="s">
        <v>312</v>
      </c>
      <c r="C17" s="24" t="e">
        <f>'Demog Contact'!D17</f>
        <v>#N/A</v>
      </c>
      <c r="D17" s="24" t="e">
        <f>'Demog Contact (2)'!D17</f>
        <v>#N/A</v>
      </c>
      <c r="E17" s="26" t="e">
        <f t="shared" si="0"/>
        <v>#N/A</v>
      </c>
      <c r="F17" s="27"/>
      <c r="H17" s="51" t="str">
        <f>IF(AND(ISBLANK(AccredExpl!C$23),ISBLANK(AccredExpl!C$24),ISBLANK(AccredExpl!C$25),ISBLANK(AccredExpl!C$26),ISBLANK(AccredExpl!C$27),ISBLANK(AccredExpl!C$28),ISBLANK(AccredExpl!C$29),ISBLANK(AccredExpl!C$30),ISBLANK(AccredExpl!C$31),ISBLANK(AccredExpl!C$32),ISBLANK(AccredExpl!C$33),ISBLANK(AccredExpl!C$34),ISBLANK(AccredExpl!C$35),ISBLANK(AccredExpl!C$36),ISBLANK(AccredExpl!C$37),ISBLANK(AccredExpl!C$38)),"","Check Explanations for Meta Data Entries")</f>
        <v/>
      </c>
    </row>
    <row r="18" spans="1:12" ht="13.5" thickBot="1" x14ac:dyDescent="0.25">
      <c r="A18" s="16">
        <v>84</v>
      </c>
      <c r="B18" s="33" t="s">
        <v>349</v>
      </c>
      <c r="C18" s="34" t="e">
        <f>'Demog Contact'!D18</f>
        <v>#N/A</v>
      </c>
      <c r="D18" s="34" t="e">
        <f>'Demog Contact (2)'!D18</f>
        <v>#N/A</v>
      </c>
      <c r="E18" s="52" t="e">
        <f t="shared" si="0"/>
        <v>#N/A</v>
      </c>
      <c r="F18" s="27"/>
    </row>
    <row r="19" spans="1:12" x14ac:dyDescent="0.2">
      <c r="B19" s="53"/>
      <c r="F19" s="27"/>
    </row>
    <row r="20" spans="1:12" ht="13.5" thickBot="1" x14ac:dyDescent="0.25">
      <c r="A20" s="54">
        <v>31</v>
      </c>
      <c r="C20" s="56"/>
      <c r="D20" s="56"/>
      <c r="G20" s="54">
        <v>33</v>
      </c>
    </row>
    <row r="21" spans="1:12" x14ac:dyDescent="0.2">
      <c r="A21" s="16">
        <v>93</v>
      </c>
      <c r="B21" s="602" t="s">
        <v>276</v>
      </c>
      <c r="C21" s="603"/>
      <c r="D21" s="603"/>
      <c r="E21" s="57" t="e">
        <f>CONCATENATE("Contact ID: ",'Demog Contact (2)'!S34)</f>
        <v>#N/A</v>
      </c>
      <c r="F21" s="58"/>
      <c r="G21" s="16">
        <v>92</v>
      </c>
      <c r="H21" s="604" t="s">
        <v>300</v>
      </c>
      <c r="I21" s="605"/>
      <c r="J21" s="605"/>
      <c r="K21" s="59" t="e">
        <f>CONCATENATE("Contact ID: ",'Demog Contact (2)'!S7)</f>
        <v>#N/A</v>
      </c>
    </row>
    <row r="22" spans="1:12" x14ac:dyDescent="0.2">
      <c r="A22" s="32">
        <v>24</v>
      </c>
      <c r="B22" s="597" t="s">
        <v>372</v>
      </c>
      <c r="C22" s="589" t="e">
        <f>'Demog Contact'!D35</f>
        <v>#N/A</v>
      </c>
      <c r="D22" s="581" t="e">
        <f>'Demog Contact (2)'!D35</f>
        <v>#N/A</v>
      </c>
      <c r="E22" s="583" t="e">
        <f t="shared" ref="E22:E35" si="2">IF(EXACT(C22,D22),"",C22)</f>
        <v>#N/A</v>
      </c>
      <c r="G22" s="16">
        <v>10</v>
      </c>
      <c r="H22" s="598" t="s">
        <v>370</v>
      </c>
      <c r="I22" s="607" t="e">
        <f>'Demog Contact'!H7</f>
        <v>#N/A</v>
      </c>
      <c r="J22" s="592" t="e">
        <f>'Demog Contact (2)'!H7</f>
        <v>#N/A</v>
      </c>
      <c r="K22" s="586" t="e">
        <f>IF(EXACT(I22,J22),"",I22)</f>
        <v>#N/A</v>
      </c>
    </row>
    <row r="23" spans="1:12" ht="12.75" customHeight="1" x14ac:dyDescent="0.2">
      <c r="A23" s="32">
        <v>25</v>
      </c>
      <c r="B23" s="597" t="s">
        <v>313</v>
      </c>
      <c r="C23" s="589"/>
      <c r="D23" s="581"/>
      <c r="E23" s="582" t="str">
        <f t="shared" si="2"/>
        <v/>
      </c>
      <c r="G23" s="16">
        <v>11</v>
      </c>
      <c r="H23" s="606" t="s">
        <v>306</v>
      </c>
      <c r="I23" s="585"/>
      <c r="J23" s="581"/>
      <c r="K23" s="586"/>
    </row>
    <row r="24" spans="1:12" x14ac:dyDescent="0.2">
      <c r="A24" s="16">
        <v>26</v>
      </c>
      <c r="B24" s="60" t="s">
        <v>314</v>
      </c>
      <c r="C24" s="24" t="e">
        <f>'Demog Contact'!I35</f>
        <v>#N/A</v>
      </c>
      <c r="D24" s="24" t="e">
        <f>'Demog Contact (2)'!I35</f>
        <v>#N/A</v>
      </c>
      <c r="E24" s="26" t="e">
        <f t="shared" si="2"/>
        <v>#N/A</v>
      </c>
      <c r="G24" s="16">
        <v>12</v>
      </c>
      <c r="H24" s="61" t="s">
        <v>307</v>
      </c>
      <c r="I24" s="24" t="e">
        <f>'Demog Contact'!H8</f>
        <v>#N/A</v>
      </c>
      <c r="J24" s="24" t="e">
        <f>'Demog Contact (2)'!H8</f>
        <v>#N/A</v>
      </c>
      <c r="K24" s="46" t="e">
        <f>IF(EXACT(I24,J24),"",I24)</f>
        <v>#N/A</v>
      </c>
    </row>
    <row r="25" spans="1:12" x14ac:dyDescent="0.2">
      <c r="A25" s="16">
        <v>27</v>
      </c>
      <c r="B25" s="60" t="s">
        <v>315</v>
      </c>
      <c r="C25" s="24" t="e">
        <f>'Demog Contact'!D36</f>
        <v>#N/A</v>
      </c>
      <c r="D25" s="24" t="e">
        <f>'Demog Contact (2)'!D36</f>
        <v>#N/A</v>
      </c>
      <c r="E25" s="46" t="e">
        <f t="shared" si="2"/>
        <v>#N/A</v>
      </c>
      <c r="G25" s="16">
        <v>13</v>
      </c>
      <c r="H25" s="61" t="s">
        <v>308</v>
      </c>
      <c r="I25" s="24" t="e">
        <f>'Demog Contact'!H9</f>
        <v>#N/A</v>
      </c>
      <c r="J25" s="24" t="e">
        <f>'Demog Contact (2)'!H9</f>
        <v>#N/A</v>
      </c>
      <c r="K25" s="46" t="e">
        <f>IF(EXACT(I25,J25),"",I25)</f>
        <v>#N/A</v>
      </c>
    </row>
    <row r="26" spans="1:12" x14ac:dyDescent="0.2">
      <c r="A26" s="16">
        <v>32</v>
      </c>
      <c r="B26" s="597" t="s">
        <v>369</v>
      </c>
      <c r="C26" s="585" t="e">
        <f>'Demog Contact'!D37</f>
        <v>#N/A</v>
      </c>
      <c r="D26" s="581" t="e">
        <f>'Demog Contact (2)'!D37</f>
        <v>#N/A</v>
      </c>
      <c r="E26" s="582" t="e">
        <f t="shared" si="2"/>
        <v>#N/A</v>
      </c>
      <c r="G26" s="16">
        <v>14</v>
      </c>
      <c r="H26" s="61" t="s">
        <v>309</v>
      </c>
      <c r="I26" s="24" t="e">
        <f>'Demog Contact'!H10</f>
        <v>#N/A</v>
      </c>
      <c r="J26" s="24" t="e">
        <f>'Demog Contact (2)'!H10</f>
        <v>#N/A</v>
      </c>
      <c r="K26" s="46" t="e">
        <f>IF(EXACT(I26,J26),"",I26)</f>
        <v>#N/A</v>
      </c>
    </row>
    <row r="27" spans="1:12" x14ac:dyDescent="0.2">
      <c r="A27" s="16">
        <v>33</v>
      </c>
      <c r="B27" s="597"/>
      <c r="C27" s="585"/>
      <c r="D27" s="581"/>
      <c r="E27" s="582" t="str">
        <f t="shared" si="2"/>
        <v/>
      </c>
      <c r="G27" s="16">
        <v>15</v>
      </c>
      <c r="H27" s="598" t="s">
        <v>19</v>
      </c>
      <c r="I27" s="62" t="e">
        <f>'Demog Contact'!H11</f>
        <v>#N/A</v>
      </c>
      <c r="J27" s="581" t="e">
        <f>'Demog Contact (2)'!H11</f>
        <v>#N/A</v>
      </c>
      <c r="K27" s="582" t="e">
        <f>IF(EXACT(I27,J27),"",I27)</f>
        <v>#N/A</v>
      </c>
    </row>
    <row r="28" spans="1:12" ht="12.75" customHeight="1" thickBot="1" x14ac:dyDescent="0.25">
      <c r="A28" s="16">
        <v>34</v>
      </c>
      <c r="B28" s="60" t="s">
        <v>319</v>
      </c>
      <c r="C28" s="24" t="e">
        <f>'Demog Contact'!D38</f>
        <v>#N/A</v>
      </c>
      <c r="D28" s="24" t="e">
        <f>'Demog Contact (2)'!D38</f>
        <v>#N/A</v>
      </c>
      <c r="E28" s="46" t="e">
        <f t="shared" si="2"/>
        <v>#N/A</v>
      </c>
      <c r="G28" s="16">
        <v>16</v>
      </c>
      <c r="H28" s="599" t="s">
        <v>322</v>
      </c>
      <c r="I28" s="63" t="e">
        <v>#N/A</v>
      </c>
      <c r="J28" s="600"/>
      <c r="K28" s="601"/>
    </row>
    <row r="29" spans="1:12" x14ac:dyDescent="0.2">
      <c r="A29" s="16">
        <v>35</v>
      </c>
      <c r="B29" s="60" t="s">
        <v>320</v>
      </c>
      <c r="C29" s="24" t="e">
        <f>'Demog Contact'!D39</f>
        <v>#N/A</v>
      </c>
      <c r="D29" s="24" t="e">
        <f>'Demog Contact (2)'!D39</f>
        <v>#N/A</v>
      </c>
      <c r="E29" s="46" t="e">
        <f t="shared" si="2"/>
        <v>#N/A</v>
      </c>
      <c r="L29" s="64"/>
    </row>
    <row r="30" spans="1:12" x14ac:dyDescent="0.2">
      <c r="A30" s="16">
        <v>36</v>
      </c>
      <c r="B30" s="60" t="s">
        <v>321</v>
      </c>
      <c r="C30" s="24" t="e">
        <f>'Demog Contact'!D40</f>
        <v>#N/A</v>
      </c>
      <c r="D30" s="24" t="e">
        <f>'Demog Contact (2)'!D40</f>
        <v>#N/A</v>
      </c>
      <c r="E30" s="46" t="e">
        <f t="shared" si="2"/>
        <v>#N/A</v>
      </c>
      <c r="L30" s="64"/>
    </row>
    <row r="31" spans="1:12" x14ac:dyDescent="0.2">
      <c r="A31" s="16">
        <v>37</v>
      </c>
      <c r="B31" s="597" t="s">
        <v>17</v>
      </c>
      <c r="C31" s="580" t="e">
        <f>'Demog Contact'!D41</f>
        <v>#N/A</v>
      </c>
      <c r="D31" s="581" t="e">
        <f>'Demog Contact (2)'!D41</f>
        <v>#N/A</v>
      </c>
      <c r="E31" s="582" t="e">
        <f t="shared" si="2"/>
        <v>#N/A</v>
      </c>
      <c r="L31" s="64"/>
    </row>
    <row r="32" spans="1:12" x14ac:dyDescent="0.2">
      <c r="A32" s="16">
        <v>38</v>
      </c>
      <c r="B32" s="579"/>
      <c r="C32" s="580"/>
      <c r="D32" s="581"/>
      <c r="E32" s="582" t="str">
        <f t="shared" si="2"/>
        <v/>
      </c>
    </row>
    <row r="33" spans="1:11" x14ac:dyDescent="0.2">
      <c r="A33" s="16">
        <v>31</v>
      </c>
      <c r="B33" s="60" t="s">
        <v>318</v>
      </c>
      <c r="C33" s="24" t="e">
        <f>'Demog Contact'!I37</f>
        <v>#N/A</v>
      </c>
      <c r="D33" s="24" t="e">
        <f>'Demog Contact (2)'!I37</f>
        <v>#N/A</v>
      </c>
      <c r="E33" s="46" t="e">
        <f t="shared" si="2"/>
        <v>#N/A</v>
      </c>
    </row>
    <row r="34" spans="1:11" x14ac:dyDescent="0.2">
      <c r="A34" s="16">
        <v>28</v>
      </c>
      <c r="B34" s="60" t="s">
        <v>316</v>
      </c>
      <c r="C34" s="24" t="e">
        <f>'Demog Contact'!I38</f>
        <v>#N/A</v>
      </c>
      <c r="D34" s="24" t="e">
        <f>'Demog Contact (2)'!I38</f>
        <v>#N/A</v>
      </c>
      <c r="E34" s="65" t="e">
        <f t="shared" si="2"/>
        <v>#N/A</v>
      </c>
    </row>
    <row r="35" spans="1:11" x14ac:dyDescent="0.2">
      <c r="A35" s="16">
        <v>29</v>
      </c>
      <c r="B35" s="60" t="s">
        <v>361</v>
      </c>
      <c r="C35" s="24" t="e">
        <f>'Demog Contact'!I39</f>
        <v>#N/A</v>
      </c>
      <c r="D35" s="24" t="e">
        <f>'Demog Contact (2)'!I39</f>
        <v>#N/A</v>
      </c>
      <c r="E35" s="46" t="e">
        <f t="shared" si="2"/>
        <v>#N/A</v>
      </c>
    </row>
    <row r="36" spans="1:11" ht="13.5" thickBot="1" x14ac:dyDescent="0.25">
      <c r="A36" s="16">
        <v>30</v>
      </c>
      <c r="B36" s="66" t="s">
        <v>317</v>
      </c>
      <c r="C36" s="34" t="e">
        <f>'Demog Contact'!I40</f>
        <v>#N/A</v>
      </c>
      <c r="D36" s="34" t="e">
        <f>'Demog Contact (2)'!I40</f>
        <v>#N/A</v>
      </c>
      <c r="E36" s="67" t="e">
        <f>IF(EXACT(C36,D36),"",C36)</f>
        <v>#N/A</v>
      </c>
    </row>
    <row r="38" spans="1:11" ht="13.5" thickBot="1" x14ac:dyDescent="0.25">
      <c r="A38" s="54">
        <v>32</v>
      </c>
      <c r="G38" s="68">
        <v>32</v>
      </c>
      <c r="H38" s="69"/>
      <c r="I38" s="69"/>
      <c r="J38" s="69"/>
      <c r="K38" s="69"/>
    </row>
    <row r="39" spans="1:11" x14ac:dyDescent="0.2">
      <c r="A39" s="16">
        <v>94</v>
      </c>
      <c r="B39" s="593" t="s">
        <v>259</v>
      </c>
      <c r="C39" s="588"/>
      <c r="D39" s="588"/>
      <c r="E39" s="70" t="e">
        <f>CONCATENATE("Contact ID: ",'Demog Contact (2)'!S42)</f>
        <v>#N/A</v>
      </c>
      <c r="G39" s="32">
        <v>95</v>
      </c>
      <c r="H39" s="594" t="s">
        <v>262</v>
      </c>
      <c r="I39" s="595"/>
      <c r="J39" s="595"/>
      <c r="K39" s="71" t="e">
        <f>CONCATENATE("Contact ID: ",'Demog Contact (2)'!S50)</f>
        <v>#N/A</v>
      </c>
    </row>
    <row r="40" spans="1:11" x14ac:dyDescent="0.2">
      <c r="A40" s="16">
        <v>39</v>
      </c>
      <c r="B40" s="591" t="s">
        <v>24</v>
      </c>
      <c r="C40" s="589" t="e">
        <f>'Demog Contact'!D43</f>
        <v>#N/A</v>
      </c>
      <c r="D40" s="581" t="e">
        <f>'Demog Contact (2)'!D43</f>
        <v>#N/A</v>
      </c>
      <c r="E40" s="583" t="e">
        <f t="shared" ref="E40:E53" si="3">IF(EXACT(C40,D40),"",C40)</f>
        <v>#N/A</v>
      </c>
      <c r="G40" s="32">
        <v>54</v>
      </c>
      <c r="H40" s="590" t="s">
        <v>15</v>
      </c>
      <c r="I40" s="596" t="e">
        <f>'Demog Contact'!D51</f>
        <v>#N/A</v>
      </c>
      <c r="J40" s="592" t="e">
        <f>'Demog Contact (2)'!D51</f>
        <v>#N/A</v>
      </c>
      <c r="K40" s="583" t="e">
        <f>IF(EXACT(I40,J40),"",I40)</f>
        <v>#N/A</v>
      </c>
    </row>
    <row r="41" spans="1:11" x14ac:dyDescent="0.2">
      <c r="A41" s="16">
        <v>40</v>
      </c>
      <c r="B41" s="591" t="s">
        <v>323</v>
      </c>
      <c r="C41" s="589"/>
      <c r="D41" s="581"/>
      <c r="E41" s="582" t="str">
        <f t="shared" si="3"/>
        <v/>
      </c>
      <c r="F41" s="28"/>
      <c r="G41" s="32">
        <v>55</v>
      </c>
      <c r="H41" s="590" t="s">
        <v>331</v>
      </c>
      <c r="I41" s="580"/>
      <c r="J41" s="581"/>
      <c r="K41" s="582"/>
    </row>
    <row r="42" spans="1:11" x14ac:dyDescent="0.2">
      <c r="A42" s="16">
        <v>41</v>
      </c>
      <c r="B42" s="72" t="s">
        <v>324</v>
      </c>
      <c r="C42" s="24" t="e">
        <f>'Demog Contact'!I43</f>
        <v>#N/A</v>
      </c>
      <c r="D42" s="24" t="e">
        <f>'Demog Contact (2)'!I43</f>
        <v>#N/A</v>
      </c>
      <c r="E42" s="26" t="e">
        <f t="shared" si="3"/>
        <v>#N/A</v>
      </c>
      <c r="F42" s="73"/>
      <c r="G42" s="16">
        <v>56</v>
      </c>
      <c r="H42" s="74" t="s">
        <v>332</v>
      </c>
      <c r="I42" s="24" t="e">
        <f>'Demog Contact'!I51</f>
        <v>#N/A</v>
      </c>
      <c r="J42" s="24" t="e">
        <f>'Demog Contact (2)'!I51</f>
        <v>#N/A</v>
      </c>
      <c r="K42" s="46" t="e">
        <f>IF(EXACT(I42,J42),"",I42)</f>
        <v>#N/A</v>
      </c>
    </row>
    <row r="43" spans="1:11" x14ac:dyDescent="0.2">
      <c r="A43" s="16">
        <v>42</v>
      </c>
      <c r="B43" s="72" t="s">
        <v>325</v>
      </c>
      <c r="C43" s="24" t="e">
        <f>'Demog Contact'!D44</f>
        <v>#N/A</v>
      </c>
      <c r="D43" s="24" t="e">
        <f>'Demog Contact (2)'!D44</f>
        <v>#N/A</v>
      </c>
      <c r="E43" s="26" t="e">
        <f t="shared" si="3"/>
        <v>#N/A</v>
      </c>
      <c r="F43" s="73"/>
      <c r="G43" s="16">
        <v>57</v>
      </c>
      <c r="H43" s="74" t="s">
        <v>333</v>
      </c>
      <c r="I43" s="24" t="e">
        <f>'Demog Contact'!D52</f>
        <v>#N/A</v>
      </c>
      <c r="J43" s="24" t="e">
        <f>'Demog Contact (2)'!D52</f>
        <v>#N/A</v>
      </c>
      <c r="K43" s="46" t="e">
        <f>IF(EXACT(I43,J43),"",I43)</f>
        <v>#N/A</v>
      </c>
    </row>
    <row r="44" spans="1:11" x14ac:dyDescent="0.2">
      <c r="A44" s="16">
        <v>47</v>
      </c>
      <c r="B44" s="591" t="s">
        <v>367</v>
      </c>
      <c r="C44" s="585" t="e">
        <f>'Demog Contact'!D45</f>
        <v>#N/A</v>
      </c>
      <c r="D44" s="581" t="e">
        <f>'Demog Contact (2)'!D45</f>
        <v>#N/A</v>
      </c>
      <c r="E44" s="586" t="e">
        <f t="shared" si="3"/>
        <v>#N/A</v>
      </c>
      <c r="F44" s="73"/>
      <c r="G44" s="16">
        <v>62</v>
      </c>
      <c r="H44" s="590" t="s">
        <v>368</v>
      </c>
      <c r="I44" s="585" t="e">
        <f>'Demog Contact'!D53</f>
        <v>#N/A</v>
      </c>
      <c r="J44" s="581" t="e">
        <f>'Demog Contact (2)'!D53</f>
        <v>#N/A</v>
      </c>
      <c r="K44" s="586" t="e">
        <f>IF(EXACT(I44,J44),"",I44)</f>
        <v>#N/A</v>
      </c>
    </row>
    <row r="45" spans="1:11" x14ac:dyDescent="0.2">
      <c r="A45" s="16">
        <v>48</v>
      </c>
      <c r="B45" s="584"/>
      <c r="C45" s="585"/>
      <c r="D45" s="581"/>
      <c r="E45" s="586" t="str">
        <f t="shared" si="3"/>
        <v/>
      </c>
      <c r="F45" s="56"/>
      <c r="G45" s="16">
        <v>63</v>
      </c>
      <c r="H45" s="584"/>
      <c r="I45" s="585"/>
      <c r="J45" s="581"/>
      <c r="K45" s="586"/>
    </row>
    <row r="46" spans="1:11" x14ac:dyDescent="0.2">
      <c r="A46" s="16">
        <v>49</v>
      </c>
      <c r="B46" s="72" t="s">
        <v>328</v>
      </c>
      <c r="C46" s="24" t="e">
        <f>'Demog Contact'!D46</f>
        <v>#N/A</v>
      </c>
      <c r="D46" s="24" t="e">
        <f>'Demog Contact (2)'!D46</f>
        <v>#N/A</v>
      </c>
      <c r="E46" s="26" t="e">
        <f t="shared" si="3"/>
        <v>#N/A</v>
      </c>
      <c r="F46" s="56"/>
      <c r="G46" s="16">
        <v>64</v>
      </c>
      <c r="H46" s="74" t="s">
        <v>337</v>
      </c>
      <c r="I46" s="24" t="e">
        <f>'Demog Contact'!D54</f>
        <v>#N/A</v>
      </c>
      <c r="J46" s="24" t="e">
        <f>'Demog Contact (2)'!D54</f>
        <v>#N/A</v>
      </c>
      <c r="K46" s="46" t="e">
        <f>IF(EXACT(I46,J46),"",I46)</f>
        <v>#N/A</v>
      </c>
    </row>
    <row r="47" spans="1:11" x14ac:dyDescent="0.2">
      <c r="A47" s="16">
        <v>50</v>
      </c>
      <c r="B47" s="72" t="s">
        <v>329</v>
      </c>
      <c r="C47" s="24" t="e">
        <f>'Demog Contact'!D47</f>
        <v>#N/A</v>
      </c>
      <c r="D47" s="24" t="e">
        <f>'Demog Contact (2)'!D47</f>
        <v>#N/A</v>
      </c>
      <c r="E47" s="26" t="e">
        <f t="shared" si="3"/>
        <v>#N/A</v>
      </c>
      <c r="F47" s="56"/>
      <c r="G47" s="16">
        <v>65</v>
      </c>
      <c r="H47" s="74" t="s">
        <v>338</v>
      </c>
      <c r="I47" s="24" t="e">
        <f>'Demog Contact'!D55</f>
        <v>#N/A</v>
      </c>
      <c r="J47" s="24" t="e">
        <f>'Demog Contact (2)'!D55</f>
        <v>#N/A</v>
      </c>
      <c r="K47" s="46" t="e">
        <f>IF(EXACT(I47,J47),"",I47)</f>
        <v>#N/A</v>
      </c>
    </row>
    <row r="48" spans="1:11" x14ac:dyDescent="0.2">
      <c r="A48" s="16">
        <v>51</v>
      </c>
      <c r="B48" s="72" t="s">
        <v>330</v>
      </c>
      <c r="C48" s="24" t="e">
        <f>'Demog Contact'!D48</f>
        <v>#N/A</v>
      </c>
      <c r="D48" s="24" t="e">
        <f>'Demog Contact (2)'!D48</f>
        <v>#N/A</v>
      </c>
      <c r="E48" s="26" t="e">
        <f t="shared" si="3"/>
        <v>#N/A</v>
      </c>
      <c r="F48" s="56"/>
      <c r="G48" s="16">
        <v>66</v>
      </c>
      <c r="H48" s="74" t="s">
        <v>339</v>
      </c>
      <c r="I48" s="24" t="e">
        <f>'Demog Contact'!D56</f>
        <v>#N/A</v>
      </c>
      <c r="J48" s="24" t="e">
        <f>'Demog Contact (2)'!D56</f>
        <v>#N/A</v>
      </c>
      <c r="K48" s="46" t="e">
        <f>IF(EXACT(I48,J48),"",I48)</f>
        <v>#N/A</v>
      </c>
    </row>
    <row r="49" spans="1:11" x14ac:dyDescent="0.2">
      <c r="A49" s="16">
        <v>52</v>
      </c>
      <c r="B49" s="591" t="s">
        <v>20</v>
      </c>
      <c r="C49" s="580" t="e">
        <f>'Demog Contact'!D49</f>
        <v>#N/A</v>
      </c>
      <c r="D49" s="581" t="e">
        <f>'Demog Contact (2)'!D49</f>
        <v>#N/A</v>
      </c>
      <c r="E49" s="582" t="e">
        <f t="shared" si="3"/>
        <v>#N/A</v>
      </c>
      <c r="F49" s="56"/>
      <c r="G49" s="16">
        <v>67</v>
      </c>
      <c r="H49" s="590" t="s">
        <v>18</v>
      </c>
      <c r="I49" s="580" t="e">
        <f>'Demog Contact'!D57</f>
        <v>#N/A</v>
      </c>
      <c r="J49" s="581" t="e">
        <f>'Demog Contact (2)'!D57</f>
        <v>#N/A</v>
      </c>
      <c r="K49" s="582" t="e">
        <f>IF(EXACT(I49,J49),"",I49)</f>
        <v>#N/A</v>
      </c>
    </row>
    <row r="50" spans="1:11" x14ac:dyDescent="0.2">
      <c r="A50" s="16">
        <v>53</v>
      </c>
      <c r="B50" s="579"/>
      <c r="C50" s="580"/>
      <c r="D50" s="581"/>
      <c r="E50" s="582" t="str">
        <f t="shared" si="3"/>
        <v/>
      </c>
      <c r="F50" s="56"/>
      <c r="G50" s="16">
        <v>68</v>
      </c>
      <c r="H50" s="579"/>
      <c r="I50" s="580"/>
      <c r="J50" s="581"/>
      <c r="K50" s="582"/>
    </row>
    <row r="51" spans="1:11" x14ac:dyDescent="0.2">
      <c r="A51" s="16">
        <v>46</v>
      </c>
      <c r="B51" s="72" t="s">
        <v>327</v>
      </c>
      <c r="C51" s="24" t="e">
        <f>'Demog Contact'!I45</f>
        <v>#N/A</v>
      </c>
      <c r="D51" s="24" t="e">
        <f>'Demog Contact (2)'!I45</f>
        <v>#N/A</v>
      </c>
      <c r="E51" s="26" t="e">
        <f t="shared" si="3"/>
        <v>#N/A</v>
      </c>
      <c r="F51" s="75"/>
      <c r="G51" s="16">
        <v>61</v>
      </c>
      <c r="H51" s="74" t="s">
        <v>336</v>
      </c>
      <c r="I51" s="24" t="e">
        <f>'Demog Contact'!I53</f>
        <v>#N/A</v>
      </c>
      <c r="J51" s="24" t="e">
        <f>'Demog Contact (2)'!I53</f>
        <v>#N/A</v>
      </c>
      <c r="K51" s="46" t="e">
        <f>IF(EXACT(I51,J51),"",I51)</f>
        <v>#N/A</v>
      </c>
    </row>
    <row r="52" spans="1:11" ht="12.75" customHeight="1" x14ac:dyDescent="0.2">
      <c r="A52" s="16">
        <v>43</v>
      </c>
      <c r="B52" s="76" t="s">
        <v>358</v>
      </c>
      <c r="C52" s="77" t="e">
        <f>'Demog Contact'!I46</f>
        <v>#N/A</v>
      </c>
      <c r="D52" s="78" t="e">
        <f>'Demog Contact (2)'!I46</f>
        <v>#N/A</v>
      </c>
      <c r="E52" s="79" t="e">
        <f t="shared" si="3"/>
        <v>#N/A</v>
      </c>
      <c r="F52" s="75"/>
      <c r="G52" s="16">
        <v>58</v>
      </c>
      <c r="H52" s="74" t="s">
        <v>334</v>
      </c>
      <c r="I52" s="24" t="e">
        <f>'Demog Contact'!I54</f>
        <v>#N/A</v>
      </c>
      <c r="J52" s="24" t="e">
        <f>'Demog Contact (2)'!I54</f>
        <v>#N/A</v>
      </c>
      <c r="K52" s="65" t="e">
        <f>IF(EXACT(I52,J52),"",I52)</f>
        <v>#N/A</v>
      </c>
    </row>
    <row r="53" spans="1:11" x14ac:dyDescent="0.2">
      <c r="A53" s="16">
        <v>44</v>
      </c>
      <c r="B53" s="76" t="s">
        <v>362</v>
      </c>
      <c r="C53" s="77" t="e">
        <f>'Demog Contact'!I47</f>
        <v>#N/A</v>
      </c>
      <c r="D53" s="78" t="e">
        <f>'Demog Contact (2)'!I47</f>
        <v>#N/A</v>
      </c>
      <c r="E53" s="80" t="e">
        <f t="shared" si="3"/>
        <v>#N/A</v>
      </c>
      <c r="F53" s="56"/>
      <c r="G53" s="16">
        <v>59</v>
      </c>
      <c r="H53" s="74" t="s">
        <v>364</v>
      </c>
      <c r="I53" s="24" t="e">
        <f>'Demog Contact'!I55</f>
        <v>#N/A</v>
      </c>
      <c r="J53" s="24" t="e">
        <f>'Demog Contact (2)'!I55</f>
        <v>#N/A</v>
      </c>
      <c r="K53" s="46" t="e">
        <f>IF(EXACT(I53,J53),"",I53)</f>
        <v>#N/A</v>
      </c>
    </row>
    <row r="54" spans="1:11" ht="13.5" thickBot="1" x14ac:dyDescent="0.25">
      <c r="A54" s="16">
        <v>45</v>
      </c>
      <c r="B54" s="81" t="s">
        <v>326</v>
      </c>
      <c r="C54" s="34" t="e">
        <f>'Demog Contact'!I48</f>
        <v>#N/A</v>
      </c>
      <c r="D54" s="34" t="e">
        <f>'Demog Contact (2)'!I48</f>
        <v>#N/A</v>
      </c>
      <c r="E54" s="82" t="e">
        <f>IF(EXACT(C54,D54),"",C54)</f>
        <v>#N/A</v>
      </c>
      <c r="F54" s="56"/>
      <c r="G54" s="16">
        <v>60</v>
      </c>
      <c r="H54" s="83" t="s">
        <v>335</v>
      </c>
      <c r="I54" s="34" t="e">
        <f>'Demog Contact'!I56</f>
        <v>#N/A</v>
      </c>
      <c r="J54" s="34" t="e">
        <f>'Demog Contact (2)'!I56</f>
        <v>#N/A</v>
      </c>
      <c r="K54" s="67" t="e">
        <f>IF(EXACT(I54,J54),"",I54)</f>
        <v>#N/A</v>
      </c>
    </row>
    <row r="55" spans="1:11" x14ac:dyDescent="0.2">
      <c r="F55" s="56"/>
    </row>
    <row r="56" spans="1:11" x14ac:dyDescent="0.2">
      <c r="B56" s="84"/>
      <c r="C56" s="85"/>
      <c r="D56" s="85"/>
      <c r="E56" s="85"/>
      <c r="F56" s="85"/>
    </row>
    <row r="57" spans="1:11" ht="13.5" thickBot="1" x14ac:dyDescent="0.25">
      <c r="A57" s="54">
        <v>40</v>
      </c>
      <c r="B57" s="64"/>
      <c r="F57" s="85"/>
    </row>
    <row r="58" spans="1:11" x14ac:dyDescent="0.2">
      <c r="A58" s="86">
        <v>96</v>
      </c>
      <c r="B58" s="587" t="s">
        <v>356</v>
      </c>
      <c r="C58" s="588"/>
      <c r="D58" s="588"/>
      <c r="E58" s="87" t="e">
        <f>CONCATENATE("Contact ID: ",'Demog Contact (2)'!S58)</f>
        <v>#N/A</v>
      </c>
      <c r="H58" s="88"/>
    </row>
    <row r="59" spans="1:11" x14ac:dyDescent="0.2">
      <c r="A59" s="86">
        <v>69</v>
      </c>
      <c r="B59" s="578" t="s">
        <v>359</v>
      </c>
      <c r="C59" s="589" t="e">
        <f>'Demog Contact'!D59</f>
        <v>#N/A</v>
      </c>
      <c r="D59" s="581" t="e">
        <f>'Demog Contact (2)'!D59</f>
        <v>#N/A</v>
      </c>
      <c r="E59" s="583" t="e">
        <f t="shared" ref="E59:E72" si="4">IF(EXACT(C59,D59),"",C59)</f>
        <v>#N/A</v>
      </c>
    </row>
    <row r="60" spans="1:11" x14ac:dyDescent="0.2">
      <c r="A60" s="86">
        <v>70</v>
      </c>
      <c r="B60" s="578" t="s">
        <v>340</v>
      </c>
      <c r="C60" s="589"/>
      <c r="D60" s="581"/>
      <c r="E60" s="582" t="str">
        <f t="shared" si="4"/>
        <v/>
      </c>
    </row>
    <row r="61" spans="1:11" x14ac:dyDescent="0.2">
      <c r="A61" s="86">
        <v>71</v>
      </c>
      <c r="B61" s="89" t="s">
        <v>341</v>
      </c>
      <c r="C61" s="24" t="e">
        <f>'Demog Contact'!I59</f>
        <v>#N/A</v>
      </c>
      <c r="D61" s="24" t="e">
        <f>'Demog Contact (2)'!I59</f>
        <v>#N/A</v>
      </c>
      <c r="E61" s="26" t="e">
        <f t="shared" si="4"/>
        <v>#N/A</v>
      </c>
    </row>
    <row r="62" spans="1:11" x14ac:dyDescent="0.2">
      <c r="A62" s="86">
        <v>72</v>
      </c>
      <c r="B62" s="89" t="s">
        <v>342</v>
      </c>
      <c r="C62" s="24" t="e">
        <f>'Demog Contact'!D60</f>
        <v>#N/A</v>
      </c>
      <c r="D62" s="24" t="e">
        <f>'Demog Contact (2)'!D60</f>
        <v>#N/A</v>
      </c>
      <c r="E62" s="26" t="e">
        <f t="shared" si="4"/>
        <v>#N/A</v>
      </c>
    </row>
    <row r="63" spans="1:11" x14ac:dyDescent="0.2">
      <c r="A63" s="86">
        <v>77</v>
      </c>
      <c r="B63" s="578" t="s">
        <v>366</v>
      </c>
      <c r="C63" s="585" t="e">
        <f>'Demog Contact'!D61</f>
        <v>#N/A</v>
      </c>
      <c r="D63" s="581" t="e">
        <f>'Demog Contact (2)'!D61</f>
        <v>#N/A</v>
      </c>
      <c r="E63" s="586" t="e">
        <f t="shared" si="4"/>
        <v>#N/A</v>
      </c>
    </row>
    <row r="64" spans="1:11" x14ac:dyDescent="0.2">
      <c r="A64" s="86">
        <v>78</v>
      </c>
      <c r="B64" s="584"/>
      <c r="C64" s="585"/>
      <c r="D64" s="581"/>
      <c r="E64" s="586" t="str">
        <f t="shared" si="4"/>
        <v/>
      </c>
    </row>
    <row r="65" spans="1:10" x14ac:dyDescent="0.2">
      <c r="A65" s="86">
        <v>79</v>
      </c>
      <c r="B65" s="89" t="s">
        <v>346</v>
      </c>
      <c r="C65" s="24" t="e">
        <f>'Demog Contact'!D62</f>
        <v>#N/A</v>
      </c>
      <c r="D65" s="24" t="e">
        <f>'Demog Contact (2)'!D62</f>
        <v>#N/A</v>
      </c>
      <c r="E65" s="26" t="e">
        <f t="shared" si="4"/>
        <v>#N/A</v>
      </c>
      <c r="J65" s="19"/>
    </row>
    <row r="66" spans="1:10" x14ac:dyDescent="0.2">
      <c r="A66" s="86">
        <v>80</v>
      </c>
      <c r="B66" s="89" t="s">
        <v>347</v>
      </c>
      <c r="C66" s="24" t="e">
        <f>'Demog Contact'!D63</f>
        <v>#N/A</v>
      </c>
      <c r="D66" s="24" t="e">
        <f>'Demog Contact (2)'!D63</f>
        <v>#N/A</v>
      </c>
      <c r="E66" s="26" t="e">
        <f t="shared" si="4"/>
        <v>#N/A</v>
      </c>
    </row>
    <row r="67" spans="1:10" x14ac:dyDescent="0.2">
      <c r="A67" s="86">
        <v>81</v>
      </c>
      <c r="B67" s="89" t="s">
        <v>348</v>
      </c>
      <c r="C67" s="24" t="e">
        <f>'Demog Contact'!D64</f>
        <v>#N/A</v>
      </c>
      <c r="D67" s="24" t="e">
        <f>'Demog Contact (2)'!D64</f>
        <v>#N/A</v>
      </c>
      <c r="E67" s="26" t="e">
        <f t="shared" si="4"/>
        <v>#N/A</v>
      </c>
    </row>
    <row r="68" spans="1:10" x14ac:dyDescent="0.2">
      <c r="A68" s="86">
        <v>82</v>
      </c>
      <c r="B68" s="578" t="s">
        <v>21</v>
      </c>
      <c r="C68" s="580" t="e">
        <f>'Demog Contact'!D65</f>
        <v>#N/A</v>
      </c>
      <c r="D68" s="581" t="e">
        <f>'Demog Contact (2)'!D65</f>
        <v>#N/A</v>
      </c>
      <c r="E68" s="582" t="e">
        <f t="shared" si="4"/>
        <v>#N/A</v>
      </c>
    </row>
    <row r="69" spans="1:10" x14ac:dyDescent="0.2">
      <c r="A69" s="86">
        <v>83</v>
      </c>
      <c r="B69" s="579"/>
      <c r="C69" s="580"/>
      <c r="D69" s="581"/>
      <c r="E69" s="582" t="str">
        <f t="shared" si="4"/>
        <v/>
      </c>
    </row>
    <row r="70" spans="1:10" x14ac:dyDescent="0.2">
      <c r="A70" s="86">
        <v>76</v>
      </c>
      <c r="B70" s="89" t="s">
        <v>345</v>
      </c>
      <c r="C70" s="24" t="e">
        <f>'Demog Contact'!I61</f>
        <v>#N/A</v>
      </c>
      <c r="D70" s="24" t="e">
        <f>'Demog Contact (2)'!I61</f>
        <v>#N/A</v>
      </c>
      <c r="E70" s="26" t="e">
        <f t="shared" si="4"/>
        <v>#N/A</v>
      </c>
    </row>
    <row r="71" spans="1:10" x14ac:dyDescent="0.2">
      <c r="A71" s="86">
        <v>73</v>
      </c>
      <c r="B71" s="89" t="s">
        <v>343</v>
      </c>
      <c r="C71" s="24" t="e">
        <f>'Demog Contact'!I62</f>
        <v>#N/A</v>
      </c>
      <c r="D71" s="24" t="e">
        <f>'Demog Contact (2)'!I62</f>
        <v>#N/A</v>
      </c>
      <c r="E71" s="44" t="e">
        <f t="shared" si="4"/>
        <v>#N/A</v>
      </c>
    </row>
    <row r="72" spans="1:10" x14ac:dyDescent="0.2">
      <c r="A72" s="86">
        <v>74</v>
      </c>
      <c r="B72" s="89" t="s">
        <v>363</v>
      </c>
      <c r="C72" s="24" t="e">
        <f>'Demog Contact'!I63</f>
        <v>#N/A</v>
      </c>
      <c r="D72" s="24" t="e">
        <f>'Demog Contact (2)'!I63</f>
        <v>#N/A</v>
      </c>
      <c r="E72" s="26" t="e">
        <f t="shared" si="4"/>
        <v>#N/A</v>
      </c>
    </row>
    <row r="73" spans="1:10" ht="13.5" thickBot="1" x14ac:dyDescent="0.25">
      <c r="A73" s="86">
        <v>75</v>
      </c>
      <c r="B73" s="90" t="s">
        <v>344</v>
      </c>
      <c r="C73" s="34" t="e">
        <f>'Demog Contact'!I64</f>
        <v>#N/A</v>
      </c>
      <c r="D73" s="34" t="e">
        <f>'Demog Contact (2)'!I64</f>
        <v>#N/A</v>
      </c>
      <c r="E73" s="82" t="e">
        <f>IF(EXACT(C73,D73),"",C73)</f>
        <v>#N/A</v>
      </c>
    </row>
  </sheetData>
  <sheetProtection sheet="1" objects="1" scenarios="1"/>
  <mergeCells count="74">
    <mergeCell ref="B2:D2"/>
    <mergeCell ref="H2:K2"/>
    <mergeCell ref="B4:B5"/>
    <mergeCell ref="C4:C5"/>
    <mergeCell ref="D4:D5"/>
    <mergeCell ref="E4:E5"/>
    <mergeCell ref="B13:B14"/>
    <mergeCell ref="C13:C14"/>
    <mergeCell ref="D13:D14"/>
    <mergeCell ref="E13:E14"/>
    <mergeCell ref="B9:B10"/>
    <mergeCell ref="C9:C10"/>
    <mergeCell ref="D9:D10"/>
    <mergeCell ref="E9:E10"/>
    <mergeCell ref="B21:D21"/>
    <mergeCell ref="H21:J21"/>
    <mergeCell ref="B22:B23"/>
    <mergeCell ref="C22:C23"/>
    <mergeCell ref="D22:D23"/>
    <mergeCell ref="E22:E23"/>
    <mergeCell ref="H22:H23"/>
    <mergeCell ref="I22:I23"/>
    <mergeCell ref="J22:J23"/>
    <mergeCell ref="B31:B32"/>
    <mergeCell ref="C31:C32"/>
    <mergeCell ref="D31:D32"/>
    <mergeCell ref="E31:E32"/>
    <mergeCell ref="K22:K23"/>
    <mergeCell ref="B26:B27"/>
    <mergeCell ref="C26:C27"/>
    <mergeCell ref="D26:D27"/>
    <mergeCell ref="E26:E27"/>
    <mergeCell ref="H27:H28"/>
    <mergeCell ref="J27:J28"/>
    <mergeCell ref="K27:K28"/>
    <mergeCell ref="B39:D39"/>
    <mergeCell ref="H39:J39"/>
    <mergeCell ref="B40:B41"/>
    <mergeCell ref="C40:C41"/>
    <mergeCell ref="D40:D41"/>
    <mergeCell ref="E40:E41"/>
    <mergeCell ref="H40:H41"/>
    <mergeCell ref="I40:I41"/>
    <mergeCell ref="K40:K41"/>
    <mergeCell ref="B44:B45"/>
    <mergeCell ref="C44:C45"/>
    <mergeCell ref="D44:D45"/>
    <mergeCell ref="E44:E45"/>
    <mergeCell ref="H44:H45"/>
    <mergeCell ref="I44:I45"/>
    <mergeCell ref="J44:J45"/>
    <mergeCell ref="K44:K45"/>
    <mergeCell ref="J40:J41"/>
    <mergeCell ref="J49:J50"/>
    <mergeCell ref="K49:K50"/>
    <mergeCell ref="B49:B50"/>
    <mergeCell ref="C49:C50"/>
    <mergeCell ref="D49:D50"/>
    <mergeCell ref="E49:E50"/>
    <mergeCell ref="I49:I50"/>
    <mergeCell ref="B58:D58"/>
    <mergeCell ref="B59:B60"/>
    <mergeCell ref="C59:C60"/>
    <mergeCell ref="D59:D60"/>
    <mergeCell ref="H49:H50"/>
    <mergeCell ref="B68:B69"/>
    <mergeCell ref="C68:C69"/>
    <mergeCell ref="D68:D69"/>
    <mergeCell ref="E68:E69"/>
    <mergeCell ref="E59:E60"/>
    <mergeCell ref="B63:B64"/>
    <mergeCell ref="C63:C64"/>
    <mergeCell ref="D63:D64"/>
    <mergeCell ref="E63:E64"/>
  </mergeCells>
  <phoneticPr fontId="6" type="noConversion"/>
  <conditionalFormatting sqref="C3">
    <cfRule type="expression" dxfId="123" priority="1" stopIfTrue="1">
      <formula>$E$3=TRUE</formula>
    </cfRule>
  </conditionalFormatting>
  <printOptions horizontalCentered="1"/>
  <pageMargins left="0.75" right="0.75" top="1" bottom="1" header="0.5" footer="0.5"/>
  <pageSetup scale="51" fitToHeight="2" orientation="portrait" r:id="rId1"/>
  <headerFooter alignWithMargins="0">
    <oddFooter>&amp;L&amp;"Calibri,Regular"Diagnostic Imaging Facility Utilization Report
Fiscal Year 2024
&amp;C&amp;"Calibri,Regular"&amp;P of &amp;N&amp;R&amp;"Calibri,Regular"Minnesota Department of Health
Phone 651-201-3572
health.hccis@state.mn.us</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W35"/>
  <sheetViews>
    <sheetView zoomScaleNormal="100" workbookViewId="0">
      <selection sqref="A1:S1"/>
    </sheetView>
  </sheetViews>
  <sheetFormatPr defaultColWidth="0" defaultRowHeight="24.95" customHeight="1" zeroHeight="1" x14ac:dyDescent="0.2"/>
  <cols>
    <col min="1" max="1" width="25.7109375" style="122" customWidth="1"/>
    <col min="2" max="2" width="5.85546875" style="122" customWidth="1"/>
    <col min="3" max="4" width="9.140625" style="122" customWidth="1"/>
    <col min="5" max="5" width="5.85546875" style="122" customWidth="1"/>
    <col min="6" max="7" width="9.140625" style="122" customWidth="1"/>
    <col min="8" max="8" width="5.85546875" style="122" customWidth="1"/>
    <col min="9" max="10" width="9.140625" style="122" customWidth="1"/>
    <col min="11" max="11" width="5.85546875" style="122" customWidth="1"/>
    <col min="12" max="13" width="9.140625" style="122" customWidth="1"/>
    <col min="14" max="14" width="5.85546875" style="122" customWidth="1"/>
    <col min="15" max="16" width="9.140625" style="122" customWidth="1"/>
    <col min="17" max="17" width="5.85546875" style="122" customWidth="1"/>
    <col min="18" max="23" width="9.140625" style="122" customWidth="1"/>
    <col min="24" max="16384" width="9.140625" style="122" hidden="1"/>
  </cols>
  <sheetData>
    <row r="1" spans="1:23" ht="24.95" customHeight="1" thickBot="1" x14ac:dyDescent="0.25">
      <c r="A1" s="1097" t="e">
        <f>CONCATENATE('Demog Contact'!D$5," ",'Demog Contact'!D$6)</f>
        <v>#N/A</v>
      </c>
      <c r="B1" s="1098"/>
      <c r="C1" s="1098"/>
      <c r="D1" s="1098"/>
      <c r="E1" s="1098"/>
      <c r="F1" s="1098"/>
      <c r="G1" s="1098"/>
      <c r="H1" s="1098"/>
      <c r="I1" s="1098"/>
      <c r="J1" s="1098"/>
      <c r="K1" s="1098"/>
      <c r="L1" s="1098"/>
      <c r="M1" s="1098"/>
      <c r="N1" s="1098"/>
      <c r="O1" s="1098"/>
      <c r="P1" s="1098"/>
      <c r="Q1" s="1098"/>
      <c r="R1" s="1098"/>
      <c r="S1" s="1098"/>
      <c r="T1" s="1090" t="s">
        <v>764</v>
      </c>
      <c r="U1" s="1090"/>
      <c r="V1" s="1090"/>
      <c r="W1" s="1090"/>
    </row>
    <row r="2" spans="1:23" ht="24.95" customHeight="1" x14ac:dyDescent="0.2">
      <c r="A2" s="1099" t="s">
        <v>762</v>
      </c>
      <c r="B2" s="1100"/>
      <c r="C2" s="1100"/>
      <c r="D2" s="1101"/>
      <c r="E2" s="1101"/>
      <c r="F2" s="1101"/>
      <c r="G2" s="1101"/>
      <c r="H2" s="1101"/>
      <c r="I2" s="1091" t="str">
        <f>CONCATENATE("Fiscal Year ",'Demog Contact'!L1)</f>
        <v>Fiscal Year 2024</v>
      </c>
      <c r="J2" s="1091"/>
      <c r="K2" s="1091"/>
      <c r="L2" s="1092" t="s">
        <v>752</v>
      </c>
      <c r="M2" s="1092"/>
      <c r="N2" s="1077" t="s">
        <v>409</v>
      </c>
      <c r="O2" s="1077"/>
      <c r="P2" s="1077"/>
      <c r="Q2" s="1077"/>
      <c r="R2" s="1077"/>
      <c r="S2" s="1078"/>
      <c r="T2" s="689" t="s">
        <v>752</v>
      </c>
      <c r="U2" s="1090"/>
      <c r="V2" s="1090"/>
      <c r="W2" s="1090"/>
    </row>
    <row r="3" spans="1:23" ht="24.95" customHeight="1" x14ac:dyDescent="0.2">
      <c r="A3" s="1037" t="s">
        <v>662</v>
      </c>
      <c r="B3" s="1038"/>
      <c r="C3" s="1038"/>
      <c r="D3" s="1038"/>
      <c r="E3" s="1038"/>
      <c r="F3" s="1038"/>
      <c r="G3" s="1038"/>
      <c r="H3" s="1038"/>
      <c r="I3" s="1038"/>
      <c r="J3" s="1038"/>
      <c r="K3" s="1038"/>
      <c r="L3" s="1038"/>
      <c r="M3" s="1038"/>
      <c r="N3" s="1038"/>
      <c r="O3" s="1038"/>
      <c r="P3" s="1038"/>
      <c r="Q3" s="1038"/>
      <c r="R3" s="1038"/>
      <c r="S3" s="1039"/>
      <c r="T3" s="689" t="s">
        <v>752</v>
      </c>
      <c r="U3" s="1090"/>
      <c r="V3" s="1090"/>
      <c r="W3" s="1090"/>
    </row>
    <row r="4" spans="1:23" ht="24.95" customHeight="1" x14ac:dyDescent="0.2">
      <c r="A4" s="252"/>
      <c r="B4" s="934" t="s">
        <v>37</v>
      </c>
      <c r="C4" s="1070"/>
      <c r="D4" s="1071"/>
      <c r="E4" s="934" t="s">
        <v>36</v>
      </c>
      <c r="F4" s="1075"/>
      <c r="G4" s="1076"/>
      <c r="H4" s="934" t="s">
        <v>250</v>
      </c>
      <c r="I4" s="1070"/>
      <c r="J4" s="1071"/>
      <c r="K4" s="934" t="s">
        <v>249</v>
      </c>
      <c r="L4" s="1075"/>
      <c r="M4" s="1076"/>
      <c r="N4" s="934" t="s">
        <v>248</v>
      </c>
      <c r="O4" s="1075"/>
      <c r="P4" s="1076"/>
      <c r="Q4" s="934" t="s">
        <v>264</v>
      </c>
      <c r="R4" s="1075"/>
      <c r="S4" s="1076"/>
      <c r="T4" s="689" t="s">
        <v>752</v>
      </c>
      <c r="U4" s="1090"/>
      <c r="V4" s="1090"/>
      <c r="W4" s="1090"/>
    </row>
    <row r="5" spans="1:23" ht="24.95" customHeight="1" x14ac:dyDescent="0.2">
      <c r="A5" s="234" t="s">
        <v>148</v>
      </c>
      <c r="B5" s="235">
        <v>7804</v>
      </c>
      <c r="C5" s="1011"/>
      <c r="D5" s="1012"/>
      <c r="E5" s="235">
        <v>7819</v>
      </c>
      <c r="F5" s="1011"/>
      <c r="G5" s="1012"/>
      <c r="H5" s="235">
        <v>7834</v>
      </c>
      <c r="I5" s="1011"/>
      <c r="J5" s="1012"/>
      <c r="K5" s="235">
        <v>7849</v>
      </c>
      <c r="L5" s="1011"/>
      <c r="M5" s="1012"/>
      <c r="N5" s="235">
        <v>7864</v>
      </c>
      <c r="O5" s="1011"/>
      <c r="P5" s="1012"/>
      <c r="Q5" s="235">
        <v>7879</v>
      </c>
      <c r="R5" s="1011"/>
      <c r="S5" s="1012"/>
      <c r="T5" s="689" t="s">
        <v>752</v>
      </c>
      <c r="U5" s="1090"/>
      <c r="V5" s="1090"/>
      <c r="W5" s="1090"/>
    </row>
    <row r="6" spans="1:23" ht="24.95" customHeight="1" x14ac:dyDescent="0.2">
      <c r="A6" s="234" t="s">
        <v>255</v>
      </c>
      <c r="B6" s="235">
        <v>7805</v>
      </c>
      <c r="C6" s="1011"/>
      <c r="D6" s="1012"/>
      <c r="E6" s="235">
        <v>7820</v>
      </c>
      <c r="F6" s="1011"/>
      <c r="G6" s="1012"/>
      <c r="H6" s="235">
        <v>7835</v>
      </c>
      <c r="I6" s="1011"/>
      <c r="J6" s="1012"/>
      <c r="K6" s="235">
        <v>7850</v>
      </c>
      <c r="L6" s="1011"/>
      <c r="M6" s="1012"/>
      <c r="N6" s="235">
        <v>7865</v>
      </c>
      <c r="O6" s="1011"/>
      <c r="P6" s="1012"/>
      <c r="Q6" s="235">
        <v>7880</v>
      </c>
      <c r="R6" s="1011"/>
      <c r="S6" s="1012"/>
      <c r="T6" s="689" t="s">
        <v>752</v>
      </c>
      <c r="U6" s="1090"/>
      <c r="V6" s="1090"/>
      <c r="W6" s="1090"/>
    </row>
    <row r="7" spans="1:23" ht="24.95" customHeight="1" x14ac:dyDescent="0.2">
      <c r="A7" s="234" t="s">
        <v>149</v>
      </c>
      <c r="B7" s="235">
        <v>7806</v>
      </c>
      <c r="C7" s="1006"/>
      <c r="D7" s="1007"/>
      <c r="E7" s="235">
        <v>7821</v>
      </c>
      <c r="F7" s="1006"/>
      <c r="G7" s="1007"/>
      <c r="H7" s="235">
        <v>7836</v>
      </c>
      <c r="I7" s="1006"/>
      <c r="J7" s="1007"/>
      <c r="K7" s="235">
        <v>7851</v>
      </c>
      <c r="L7" s="1006"/>
      <c r="M7" s="1007"/>
      <c r="N7" s="235">
        <v>7866</v>
      </c>
      <c r="O7" s="1006"/>
      <c r="P7" s="1007"/>
      <c r="Q7" s="235">
        <v>7881</v>
      </c>
      <c r="R7" s="1006"/>
      <c r="S7" s="1007"/>
      <c r="T7" s="689" t="s">
        <v>752</v>
      </c>
      <c r="U7" s="1090"/>
      <c r="V7" s="1090"/>
      <c r="W7" s="1090"/>
    </row>
    <row r="8" spans="1:23" ht="24.95" customHeight="1" x14ac:dyDescent="0.2">
      <c r="A8" s="234" t="s">
        <v>208</v>
      </c>
      <c r="B8" s="235">
        <v>7807</v>
      </c>
      <c r="C8" s="1006"/>
      <c r="D8" s="1007"/>
      <c r="E8" s="235">
        <v>7822</v>
      </c>
      <c r="F8" s="1006"/>
      <c r="G8" s="1007"/>
      <c r="H8" s="235">
        <v>7837</v>
      </c>
      <c r="I8" s="1006"/>
      <c r="J8" s="1007"/>
      <c r="K8" s="235">
        <v>7852</v>
      </c>
      <c r="L8" s="1006"/>
      <c r="M8" s="1007"/>
      <c r="N8" s="235">
        <v>7867</v>
      </c>
      <c r="O8" s="1006"/>
      <c r="P8" s="1007"/>
      <c r="Q8" s="235">
        <v>7882</v>
      </c>
      <c r="R8" s="1006"/>
      <c r="S8" s="1007"/>
      <c r="T8" s="689" t="s">
        <v>752</v>
      </c>
      <c r="U8" s="1090"/>
      <c r="V8" s="1090"/>
      <c r="W8" s="1090"/>
    </row>
    <row r="9" spans="1:23" ht="24.95" customHeight="1" x14ac:dyDescent="0.2">
      <c r="A9" s="234" t="s">
        <v>209</v>
      </c>
      <c r="B9" s="235">
        <v>7808</v>
      </c>
      <c r="C9" s="1006"/>
      <c r="D9" s="1007"/>
      <c r="E9" s="235">
        <v>7823</v>
      </c>
      <c r="F9" s="1006"/>
      <c r="G9" s="1007"/>
      <c r="H9" s="235">
        <v>7838</v>
      </c>
      <c r="I9" s="1006"/>
      <c r="J9" s="1007"/>
      <c r="K9" s="235">
        <v>7853</v>
      </c>
      <c r="L9" s="1006"/>
      <c r="M9" s="1007"/>
      <c r="N9" s="235">
        <v>7868</v>
      </c>
      <c r="O9" s="1006"/>
      <c r="P9" s="1007"/>
      <c r="Q9" s="235">
        <v>7883</v>
      </c>
      <c r="R9" s="1006"/>
      <c r="S9" s="1007"/>
      <c r="T9" s="689" t="s">
        <v>752</v>
      </c>
      <c r="U9" s="1090"/>
      <c r="V9" s="1090"/>
      <c r="W9" s="1090"/>
    </row>
    <row r="10" spans="1:23" ht="24.95" customHeight="1" x14ac:dyDescent="0.2">
      <c r="A10" s="234" t="s">
        <v>151</v>
      </c>
      <c r="B10" s="235">
        <v>7809</v>
      </c>
      <c r="C10" s="1006"/>
      <c r="D10" s="1007"/>
      <c r="E10" s="235">
        <v>7824</v>
      </c>
      <c r="F10" s="1006"/>
      <c r="G10" s="1007"/>
      <c r="H10" s="235">
        <v>7839</v>
      </c>
      <c r="I10" s="1006"/>
      <c r="J10" s="1007"/>
      <c r="K10" s="235">
        <v>7854</v>
      </c>
      <c r="L10" s="1006"/>
      <c r="M10" s="1007"/>
      <c r="N10" s="235">
        <v>7869</v>
      </c>
      <c r="O10" s="1006"/>
      <c r="P10" s="1007"/>
      <c r="Q10" s="235">
        <v>7884</v>
      </c>
      <c r="R10" s="1006"/>
      <c r="S10" s="1007"/>
      <c r="T10" s="689" t="s">
        <v>752</v>
      </c>
      <c r="U10" s="1090"/>
      <c r="V10" s="1090"/>
      <c r="W10" s="1090"/>
    </row>
    <row r="11" spans="1:23" ht="24.95" customHeight="1" x14ac:dyDescent="0.2">
      <c r="A11" s="234" t="s">
        <v>156</v>
      </c>
      <c r="B11" s="235">
        <v>7810</v>
      </c>
      <c r="C11" s="1006"/>
      <c r="D11" s="1007"/>
      <c r="E11" s="235">
        <v>7825</v>
      </c>
      <c r="F11" s="1006"/>
      <c r="G11" s="1007"/>
      <c r="H11" s="235">
        <v>7840</v>
      </c>
      <c r="I11" s="1006"/>
      <c r="J11" s="1007"/>
      <c r="K11" s="235">
        <v>7855</v>
      </c>
      <c r="L11" s="1006"/>
      <c r="M11" s="1007"/>
      <c r="N11" s="235">
        <v>7870</v>
      </c>
      <c r="O11" s="1006"/>
      <c r="P11" s="1007"/>
      <c r="Q11" s="235">
        <v>7885</v>
      </c>
      <c r="R11" s="1006"/>
      <c r="S11" s="1007"/>
      <c r="T11" s="689" t="s">
        <v>752</v>
      </c>
      <c r="U11" s="1090"/>
      <c r="V11" s="1090"/>
      <c r="W11" s="1090"/>
    </row>
    <row r="12" spans="1:23" ht="24.95" customHeight="1" x14ac:dyDescent="0.2">
      <c r="A12" s="234" t="s">
        <v>160</v>
      </c>
      <c r="B12" s="235">
        <v>7811</v>
      </c>
      <c r="C12" s="1006"/>
      <c r="D12" s="1007"/>
      <c r="E12" s="235">
        <v>7826</v>
      </c>
      <c r="F12" s="1006"/>
      <c r="G12" s="1007"/>
      <c r="H12" s="235">
        <v>7841</v>
      </c>
      <c r="I12" s="1006"/>
      <c r="J12" s="1007"/>
      <c r="K12" s="235">
        <v>7856</v>
      </c>
      <c r="L12" s="1006"/>
      <c r="M12" s="1007"/>
      <c r="N12" s="235">
        <v>7871</v>
      </c>
      <c r="O12" s="1006"/>
      <c r="P12" s="1007"/>
      <c r="Q12" s="235">
        <v>7886</v>
      </c>
      <c r="R12" s="1006"/>
      <c r="S12" s="1007"/>
      <c r="T12" s="689" t="s">
        <v>752</v>
      </c>
      <c r="U12" s="1090"/>
      <c r="V12" s="1090"/>
      <c r="W12" s="1090"/>
    </row>
    <row r="13" spans="1:23" ht="24.95" customHeight="1" x14ac:dyDescent="0.2">
      <c r="A13" s="234" t="s">
        <v>150</v>
      </c>
      <c r="B13" s="235">
        <v>7812</v>
      </c>
      <c r="C13" s="1006"/>
      <c r="D13" s="1007"/>
      <c r="E13" s="235">
        <v>7827</v>
      </c>
      <c r="F13" s="1006"/>
      <c r="G13" s="1007"/>
      <c r="H13" s="235">
        <v>7842</v>
      </c>
      <c r="I13" s="1006"/>
      <c r="J13" s="1007"/>
      <c r="K13" s="235">
        <v>7857</v>
      </c>
      <c r="L13" s="1006"/>
      <c r="M13" s="1007"/>
      <c r="N13" s="235">
        <v>7872</v>
      </c>
      <c r="O13" s="1006"/>
      <c r="P13" s="1007"/>
      <c r="Q13" s="235">
        <v>7887</v>
      </c>
      <c r="R13" s="1006"/>
      <c r="S13" s="1007"/>
      <c r="T13" s="689" t="s">
        <v>752</v>
      </c>
      <c r="U13" s="1090"/>
      <c r="V13" s="1090"/>
      <c r="W13" s="1090"/>
    </row>
    <row r="14" spans="1:23" ht="24.95" customHeight="1" x14ac:dyDescent="0.2">
      <c r="A14" s="234" t="s">
        <v>152</v>
      </c>
      <c r="B14" s="235">
        <v>7813</v>
      </c>
      <c r="C14" s="1006"/>
      <c r="D14" s="1007"/>
      <c r="E14" s="235">
        <v>7828</v>
      </c>
      <c r="F14" s="1006"/>
      <c r="G14" s="1007"/>
      <c r="H14" s="235">
        <v>7843</v>
      </c>
      <c r="I14" s="1006"/>
      <c r="J14" s="1007"/>
      <c r="K14" s="235">
        <v>7858</v>
      </c>
      <c r="L14" s="1006"/>
      <c r="M14" s="1007"/>
      <c r="N14" s="235">
        <v>7873</v>
      </c>
      <c r="O14" s="1006"/>
      <c r="P14" s="1007"/>
      <c r="Q14" s="235">
        <v>7888</v>
      </c>
      <c r="R14" s="1006"/>
      <c r="S14" s="1007"/>
      <c r="T14" s="689" t="s">
        <v>752</v>
      </c>
      <c r="U14" s="1090"/>
      <c r="V14" s="1090"/>
      <c r="W14" s="1090"/>
    </row>
    <row r="15" spans="1:23" ht="24.95" customHeight="1" x14ac:dyDescent="0.2">
      <c r="A15" s="237" t="s">
        <v>716</v>
      </c>
      <c r="B15" s="235">
        <v>7814</v>
      </c>
      <c r="C15" s="1008">
        <f>SUM(C16:C18)</f>
        <v>0</v>
      </c>
      <c r="D15" s="1009"/>
      <c r="E15" s="235">
        <v>7829</v>
      </c>
      <c r="F15" s="1008">
        <f>SUM(F16:F18)</f>
        <v>0</v>
      </c>
      <c r="G15" s="1009"/>
      <c r="H15" s="235">
        <v>7844</v>
      </c>
      <c r="I15" s="1008">
        <f>SUM(I16:I18)</f>
        <v>0</v>
      </c>
      <c r="J15" s="1009"/>
      <c r="K15" s="235">
        <v>7859</v>
      </c>
      <c r="L15" s="1008">
        <f>SUM(L16:L18)</f>
        <v>0</v>
      </c>
      <c r="M15" s="1009"/>
      <c r="N15" s="235">
        <v>7874</v>
      </c>
      <c r="O15" s="1008">
        <f>SUM(O16:O18)</f>
        <v>0</v>
      </c>
      <c r="P15" s="1009"/>
      <c r="Q15" s="235">
        <v>7889</v>
      </c>
      <c r="R15" s="1008">
        <f>SUM(R16:R18)</f>
        <v>0</v>
      </c>
      <c r="S15" s="1009"/>
      <c r="T15" s="998" t="s">
        <v>668</v>
      </c>
      <c r="U15" s="998"/>
      <c r="V15" s="998"/>
      <c r="W15" s="999"/>
    </row>
    <row r="16" spans="1:23" ht="24.95" customHeight="1" x14ac:dyDescent="0.2">
      <c r="A16" s="451" t="s">
        <v>155</v>
      </c>
      <c r="B16" s="235">
        <v>7815</v>
      </c>
      <c r="C16" s="238"/>
      <c r="D16" s="1052"/>
      <c r="E16" s="235">
        <v>7830</v>
      </c>
      <c r="F16" s="455"/>
      <c r="G16" s="1052"/>
      <c r="H16" s="235">
        <v>7845</v>
      </c>
      <c r="I16" s="455"/>
      <c r="J16" s="1052"/>
      <c r="K16" s="235">
        <v>7860</v>
      </c>
      <c r="L16" s="455"/>
      <c r="M16" s="1052"/>
      <c r="N16" s="235">
        <v>7875</v>
      </c>
      <c r="O16" s="455"/>
      <c r="P16" s="1052"/>
      <c r="Q16" s="235">
        <v>7890</v>
      </c>
      <c r="R16" s="455"/>
      <c r="S16" s="1052"/>
      <c r="T16" s="1001"/>
      <c r="U16" s="1001"/>
      <c r="V16" s="1001"/>
      <c r="W16" s="1002"/>
    </row>
    <row r="17" spans="1:23" ht="24.95" hidden="1" customHeight="1" x14ac:dyDescent="0.2">
      <c r="A17" s="451"/>
      <c r="B17" s="235"/>
      <c r="C17" s="238"/>
      <c r="D17" s="1053"/>
      <c r="E17" s="235"/>
      <c r="F17" s="455"/>
      <c r="G17" s="1053"/>
      <c r="H17" s="235"/>
      <c r="I17" s="455"/>
      <c r="J17" s="1053"/>
      <c r="K17" s="235"/>
      <c r="L17" s="455"/>
      <c r="M17" s="1053"/>
      <c r="N17" s="235"/>
      <c r="O17" s="455"/>
      <c r="P17" s="1053"/>
      <c r="Q17" s="235"/>
      <c r="R17" s="455"/>
      <c r="S17" s="1053"/>
      <c r="T17" s="1001"/>
      <c r="U17" s="1001"/>
      <c r="V17" s="1001"/>
      <c r="W17" s="1002"/>
    </row>
    <row r="18" spans="1:23" ht="24.95" customHeight="1" x14ac:dyDescent="0.2">
      <c r="A18" s="451" t="s">
        <v>153</v>
      </c>
      <c r="B18" s="235">
        <v>7817</v>
      </c>
      <c r="C18" s="238"/>
      <c r="D18" s="1054"/>
      <c r="E18" s="235">
        <v>7832</v>
      </c>
      <c r="F18" s="455"/>
      <c r="G18" s="1054"/>
      <c r="H18" s="235">
        <v>7847</v>
      </c>
      <c r="I18" s="455"/>
      <c r="J18" s="1054"/>
      <c r="K18" s="235">
        <v>7862</v>
      </c>
      <c r="L18" s="455"/>
      <c r="M18" s="1054"/>
      <c r="N18" s="235">
        <v>7877</v>
      </c>
      <c r="O18" s="455"/>
      <c r="P18" s="1054"/>
      <c r="Q18" s="235">
        <v>7892</v>
      </c>
      <c r="R18" s="455"/>
      <c r="S18" s="1054"/>
      <c r="T18" s="1004"/>
      <c r="U18" s="1004"/>
      <c r="V18" s="1004"/>
      <c r="W18" s="1005"/>
    </row>
    <row r="19" spans="1:23" ht="24.95" customHeight="1" thickBot="1" x14ac:dyDescent="0.25">
      <c r="A19" s="253" t="s">
        <v>154</v>
      </c>
      <c r="B19" s="254">
        <v>7818</v>
      </c>
      <c r="C19" s="1060">
        <f>SUM(C5:D15)</f>
        <v>0</v>
      </c>
      <c r="D19" s="1056"/>
      <c r="E19" s="254">
        <v>7833</v>
      </c>
      <c r="F19" s="1060">
        <f>SUM(F5:G15)</f>
        <v>0</v>
      </c>
      <c r="G19" s="1056"/>
      <c r="H19" s="254">
        <v>7848</v>
      </c>
      <c r="I19" s="1060">
        <f>SUM(I5:J15)</f>
        <v>0</v>
      </c>
      <c r="J19" s="1056"/>
      <c r="K19" s="254">
        <v>7863</v>
      </c>
      <c r="L19" s="1060">
        <f>SUM(L5:M15)</f>
        <v>0</v>
      </c>
      <c r="M19" s="1056"/>
      <c r="N19" s="254">
        <v>7878</v>
      </c>
      <c r="O19" s="1060">
        <f>SUM(O5:P15)</f>
        <v>0</v>
      </c>
      <c r="P19" s="1056"/>
      <c r="Q19" s="254">
        <v>7893</v>
      </c>
      <c r="R19" s="1060">
        <f>SUM(R5:S15)</f>
        <v>0</v>
      </c>
      <c r="S19" s="1056"/>
      <c r="T19" s="689" t="s">
        <v>752</v>
      </c>
      <c r="U19" s="1090"/>
      <c r="V19" s="1090"/>
      <c r="W19" s="1090"/>
    </row>
    <row r="20" spans="1:23" ht="24.95" customHeight="1" thickBot="1" x14ac:dyDescent="0.25">
      <c r="A20" s="257">
        <f>SUM(C19,F19,I19,L19,O19,R19)</f>
        <v>0</v>
      </c>
      <c r="B20" s="987" t="s">
        <v>752</v>
      </c>
      <c r="C20" s="987"/>
      <c r="D20" s="987"/>
      <c r="E20" s="987"/>
      <c r="F20" s="987"/>
      <c r="G20" s="987"/>
      <c r="H20" s="987"/>
      <c r="I20" s="987"/>
      <c r="J20" s="987"/>
      <c r="K20" s="987"/>
      <c r="L20" s="987"/>
      <c r="M20" s="987"/>
      <c r="N20" s="987"/>
      <c r="O20" s="987"/>
      <c r="P20" s="987"/>
      <c r="Q20" s="987"/>
      <c r="R20" s="987"/>
      <c r="S20" s="987"/>
      <c r="T20" s="1107" t="s">
        <v>752</v>
      </c>
      <c r="U20" s="1107"/>
      <c r="V20" s="1107"/>
      <c r="W20" s="1107"/>
    </row>
    <row r="21" spans="1:23" ht="24.95" customHeight="1" x14ac:dyDescent="0.2">
      <c r="A21" s="1104" t="s">
        <v>106</v>
      </c>
      <c r="B21" s="1082"/>
      <c r="C21" s="1082"/>
      <c r="D21" s="1082"/>
      <c r="E21" s="1082"/>
      <c r="F21" s="1082"/>
      <c r="G21" s="1082"/>
      <c r="H21" s="1082"/>
      <c r="I21" s="1082"/>
      <c r="J21" s="1082"/>
      <c r="K21" s="1082"/>
      <c r="L21" s="1082"/>
      <c r="M21" s="1082"/>
      <c r="N21" s="1064" t="s">
        <v>409</v>
      </c>
      <c r="O21" s="1064"/>
      <c r="P21" s="1064"/>
      <c r="Q21" s="1064"/>
      <c r="R21" s="1064"/>
      <c r="S21" s="1065"/>
      <c r="T21" s="809" t="s">
        <v>752</v>
      </c>
      <c r="U21" s="810"/>
      <c r="V21" s="810"/>
      <c r="W21" s="810"/>
    </row>
    <row r="22" spans="1:23" ht="24.95" customHeight="1" x14ac:dyDescent="0.2">
      <c r="A22" s="1063" t="s">
        <v>101</v>
      </c>
      <c r="B22" s="1038"/>
      <c r="C22" s="1038"/>
      <c r="D22" s="1038"/>
      <c r="E22" s="1038"/>
      <c r="F22" s="1038"/>
      <c r="G22" s="1038"/>
      <c r="H22" s="1038"/>
      <c r="I22" s="1038"/>
      <c r="J22" s="1038"/>
      <c r="K22" s="1038"/>
      <c r="L22" s="1038"/>
      <c r="M22" s="1038"/>
      <c r="N22" s="1038"/>
      <c r="O22" s="1038"/>
      <c r="P22" s="1038"/>
      <c r="Q22" s="1038"/>
      <c r="R22" s="1038"/>
      <c r="S22" s="1039"/>
      <c r="T22" s="689" t="s">
        <v>752</v>
      </c>
      <c r="U22" s="1090"/>
      <c r="V22" s="1090"/>
      <c r="W22" s="1090"/>
    </row>
    <row r="23" spans="1:23" ht="24.95" customHeight="1" x14ac:dyDescent="0.2">
      <c r="A23" s="258"/>
      <c r="B23" s="1087" t="s">
        <v>269</v>
      </c>
      <c r="C23" s="1093"/>
      <c r="D23" s="1094"/>
      <c r="E23" s="1087" t="s">
        <v>270</v>
      </c>
      <c r="F23" s="1088"/>
      <c r="G23" s="1089"/>
      <c r="H23" s="1087" t="s">
        <v>271</v>
      </c>
      <c r="I23" s="1108"/>
      <c r="J23" s="1109"/>
      <c r="K23" s="1087" t="s">
        <v>272</v>
      </c>
      <c r="L23" s="1088"/>
      <c r="M23" s="1089"/>
      <c r="N23" s="1087" t="s">
        <v>273</v>
      </c>
      <c r="O23" s="1088"/>
      <c r="P23" s="1089"/>
      <c r="Q23" s="1084" t="s">
        <v>274</v>
      </c>
      <c r="R23" s="1085"/>
      <c r="S23" s="1086"/>
      <c r="T23" s="689" t="s">
        <v>752</v>
      </c>
      <c r="U23" s="1090"/>
      <c r="V23" s="1090"/>
      <c r="W23" s="1090"/>
    </row>
    <row r="24" spans="1:23" ht="24.95" customHeight="1" thickBot="1" x14ac:dyDescent="0.25">
      <c r="A24" s="240" t="s">
        <v>669</v>
      </c>
      <c r="B24" s="241">
        <v>7894</v>
      </c>
      <c r="C24" s="1024"/>
      <c r="D24" s="1025"/>
      <c r="E24" s="241">
        <v>7895</v>
      </c>
      <c r="F24" s="1024"/>
      <c r="G24" s="1025"/>
      <c r="H24" s="241">
        <v>7896</v>
      </c>
      <c r="I24" s="1024"/>
      <c r="J24" s="1025"/>
      <c r="K24" s="241">
        <v>7897</v>
      </c>
      <c r="L24" s="1024"/>
      <c r="M24" s="1025"/>
      <c r="N24" s="241">
        <v>7898</v>
      </c>
      <c r="O24" s="1024"/>
      <c r="P24" s="1025"/>
      <c r="Q24" s="242">
        <v>7899</v>
      </c>
      <c r="R24" s="1024"/>
      <c r="S24" s="1025"/>
      <c r="T24" s="689" t="s">
        <v>752</v>
      </c>
      <c r="U24" s="1090"/>
      <c r="V24" s="1090"/>
      <c r="W24" s="1090"/>
    </row>
    <row r="25" spans="1:23" ht="24.95" customHeight="1" thickBot="1" x14ac:dyDescent="0.25">
      <c r="A25" s="535" t="s">
        <v>773</v>
      </c>
      <c r="B25" s="1095" t="str">
        <f>IF(AND(C19&gt;0, ISBLANK(C24)),"Please enter the number of "&amp;B23&amp;" Scanners","")</f>
        <v/>
      </c>
      <c r="C25" s="1096"/>
      <c r="D25" s="1096"/>
      <c r="E25" s="1095" t="str">
        <f>IF(AND(F19&gt;0, ISBLANK(F24)),"Please enter the number of "&amp;E23&amp;" Scanners","")</f>
        <v/>
      </c>
      <c r="F25" s="1096"/>
      <c r="G25" s="1096"/>
      <c r="H25" s="1095" t="str">
        <f>IF(AND(I19&gt;0, ISBLANK(I24)),"Please enter the number of "&amp;H23&amp;" Scanners","")</f>
        <v/>
      </c>
      <c r="I25" s="1096"/>
      <c r="J25" s="1096"/>
      <c r="K25" s="1095" t="str">
        <f>IF(AND(L19&gt;0, ISBLANK(L24)),"Please enter the number of "&amp;K23&amp;" Scanners","")</f>
        <v/>
      </c>
      <c r="L25" s="1096"/>
      <c r="M25" s="1096"/>
      <c r="N25" s="1095" t="str">
        <f>IF(AND(O19&gt;0, ISBLANK(O24)),"Please enter the number of "&amp;N23&amp;" Scanners","")</f>
        <v/>
      </c>
      <c r="O25" s="1096"/>
      <c r="P25" s="1096"/>
      <c r="Q25" s="1095" t="str">
        <f>IF(AND(R19&gt;0, ISBLANK(R24)),"Please enter the number of "&amp;Q23&amp;" Scanners","")</f>
        <v/>
      </c>
      <c r="R25" s="1096"/>
      <c r="S25" s="1096"/>
      <c r="T25" s="1110" t="s">
        <v>752</v>
      </c>
      <c r="U25" s="1110"/>
      <c r="V25" s="1110"/>
      <c r="W25" s="1110"/>
    </row>
    <row r="26" spans="1:23" ht="24.95" customHeight="1" x14ac:dyDescent="0.2">
      <c r="A26" s="1105" t="s">
        <v>107</v>
      </c>
      <c r="B26" s="1106"/>
      <c r="C26" s="1106"/>
      <c r="D26" s="1106"/>
      <c r="E26" s="1106"/>
      <c r="F26" s="1106"/>
      <c r="G26" s="1106"/>
      <c r="H26" s="1106"/>
      <c r="I26" s="1106"/>
      <c r="J26" s="1106"/>
      <c r="K26" s="1106"/>
      <c r="L26" s="1106"/>
      <c r="M26" s="1106"/>
      <c r="N26" s="1068" t="s">
        <v>409</v>
      </c>
      <c r="O26" s="1068"/>
      <c r="P26" s="1068"/>
      <c r="Q26" s="1068"/>
      <c r="R26" s="1068"/>
      <c r="S26" s="1069"/>
      <c r="T26" s="1111" t="s">
        <v>752</v>
      </c>
      <c r="U26" s="1110"/>
      <c r="V26" s="1110"/>
      <c r="W26" s="1110"/>
    </row>
    <row r="27" spans="1:23" ht="24.95" customHeight="1" x14ac:dyDescent="0.2">
      <c r="A27" s="1063" t="s">
        <v>665</v>
      </c>
      <c r="B27" s="1038"/>
      <c r="C27" s="1038"/>
      <c r="D27" s="1038"/>
      <c r="E27" s="1038"/>
      <c r="F27" s="1038"/>
      <c r="G27" s="1038"/>
      <c r="H27" s="1038"/>
      <c r="I27" s="1038"/>
      <c r="J27" s="1038"/>
      <c r="K27" s="1038"/>
      <c r="L27" s="1038"/>
      <c r="M27" s="1038"/>
      <c r="N27" s="1038"/>
      <c r="O27" s="1038"/>
      <c r="P27" s="1038"/>
      <c r="Q27" s="1038"/>
      <c r="R27" s="1038"/>
      <c r="S27" s="1039"/>
      <c r="T27" s="689" t="s">
        <v>752</v>
      </c>
      <c r="U27" s="1090"/>
      <c r="V27" s="1090"/>
      <c r="W27" s="1090"/>
    </row>
    <row r="28" spans="1:23" ht="24.95" customHeight="1" x14ac:dyDescent="0.2">
      <c r="A28" s="536" t="s">
        <v>752</v>
      </c>
      <c r="B28" s="904" t="s">
        <v>269</v>
      </c>
      <c r="C28" s="1070"/>
      <c r="D28" s="1071"/>
      <c r="E28" s="677" t="s">
        <v>270</v>
      </c>
      <c r="F28" s="1088"/>
      <c r="G28" s="1089"/>
      <c r="H28" s="677" t="s">
        <v>271</v>
      </c>
      <c r="I28" s="1093"/>
      <c r="J28" s="1094"/>
      <c r="K28" s="677" t="s">
        <v>272</v>
      </c>
      <c r="L28" s="1088"/>
      <c r="M28" s="1089"/>
      <c r="N28" s="677" t="s">
        <v>273</v>
      </c>
      <c r="O28" s="1088"/>
      <c r="P28" s="1089"/>
      <c r="Q28" s="1084" t="s">
        <v>274</v>
      </c>
      <c r="R28" s="1085"/>
      <c r="S28" s="1086"/>
      <c r="T28" s="689" t="s">
        <v>752</v>
      </c>
      <c r="U28" s="1090"/>
      <c r="V28" s="1090"/>
      <c r="W28" s="1090"/>
    </row>
    <row r="29" spans="1:23" ht="24.95" customHeight="1" x14ac:dyDescent="0.2">
      <c r="A29" s="1042" t="s">
        <v>666</v>
      </c>
      <c r="B29" s="1050" t="s">
        <v>265</v>
      </c>
      <c r="C29" s="1045"/>
      <c r="D29" s="243" t="s">
        <v>266</v>
      </c>
      <c r="E29" s="1015" t="s">
        <v>265</v>
      </c>
      <c r="F29" s="1016"/>
      <c r="G29" s="243" t="s">
        <v>266</v>
      </c>
      <c r="H29" s="1031" t="s">
        <v>265</v>
      </c>
      <c r="I29" s="1032"/>
      <c r="J29" s="244" t="s">
        <v>266</v>
      </c>
      <c r="K29" s="1031" t="s">
        <v>265</v>
      </c>
      <c r="L29" s="1032"/>
      <c r="M29" s="244" t="s">
        <v>266</v>
      </c>
      <c r="N29" s="1031" t="s">
        <v>265</v>
      </c>
      <c r="O29" s="1032"/>
      <c r="P29" s="244" t="s">
        <v>266</v>
      </c>
      <c r="Q29" s="1031" t="s">
        <v>265</v>
      </c>
      <c r="R29" s="1032"/>
      <c r="S29" s="244" t="s">
        <v>266</v>
      </c>
      <c r="T29" s="689" t="s">
        <v>752</v>
      </c>
      <c r="U29" s="1090"/>
      <c r="V29" s="1090"/>
      <c r="W29" s="1090"/>
    </row>
    <row r="30" spans="1:23" ht="24.95" customHeight="1" x14ac:dyDescent="0.2">
      <c r="A30" s="1049"/>
      <c r="B30" s="1051"/>
      <c r="C30" s="1014"/>
      <c r="D30" s="245"/>
      <c r="E30" s="1013"/>
      <c r="F30" s="1014"/>
      <c r="G30" s="245"/>
      <c r="H30" s="1013"/>
      <c r="I30" s="1014"/>
      <c r="J30" s="245"/>
      <c r="K30" s="1013"/>
      <c r="L30" s="1014"/>
      <c r="M30" s="245"/>
      <c r="N30" s="1013"/>
      <c r="O30" s="1014"/>
      <c r="P30" s="245"/>
      <c r="Q30" s="1013"/>
      <c r="R30" s="1014"/>
      <c r="S30" s="245"/>
      <c r="T30" s="1111" t="s">
        <v>752</v>
      </c>
      <c r="U30" s="1110"/>
      <c r="V30" s="1110"/>
      <c r="W30" s="1110"/>
    </row>
    <row r="31" spans="1:23" s="143" customFormat="1" ht="24.95" customHeight="1" x14ac:dyDescent="0.2">
      <c r="A31" s="537" t="s">
        <v>773</v>
      </c>
      <c r="B31" s="1029" t="str">
        <f>(IF(ISBLANK(D30),"","Enter Lease Details"))</f>
        <v/>
      </c>
      <c r="C31" s="1048"/>
      <c r="D31" s="1048"/>
      <c r="E31" s="1029" t="str">
        <f>(IF(ISBLANK(G30),"","Enter Lease Details"))</f>
        <v/>
      </c>
      <c r="F31" s="1030"/>
      <c r="G31" s="1030"/>
      <c r="H31" s="1029" t="str">
        <f>(IF(ISBLANK(J30),"","Enter Lease Details"))</f>
        <v/>
      </c>
      <c r="I31" s="1030"/>
      <c r="J31" s="1030"/>
      <c r="K31" s="1029" t="str">
        <f>(IF(ISBLANK(M30),"","Enter Lease Details"))</f>
        <v/>
      </c>
      <c r="L31" s="1030"/>
      <c r="M31" s="1030"/>
      <c r="N31" s="1029" t="str">
        <f>(IF(ISBLANK(P30),"","Enter Lease Details"))</f>
        <v/>
      </c>
      <c r="O31" s="1030"/>
      <c r="P31" s="1030"/>
      <c r="Q31" s="1029" t="str">
        <f>(IF(ISBLANK(S30),"","Enter Lease Details"))</f>
        <v/>
      </c>
      <c r="R31" s="1030"/>
      <c r="S31" s="1034"/>
      <c r="T31" s="689" t="s">
        <v>752</v>
      </c>
      <c r="U31" s="690"/>
      <c r="V31" s="690"/>
      <c r="W31" s="690"/>
    </row>
    <row r="32" spans="1:23" ht="24.95" customHeight="1" x14ac:dyDescent="0.2">
      <c r="A32" s="1042" t="s">
        <v>667</v>
      </c>
      <c r="B32" s="1044" t="s">
        <v>265</v>
      </c>
      <c r="C32" s="1045"/>
      <c r="D32" s="246" t="s">
        <v>266</v>
      </c>
      <c r="E32" s="1057" t="s">
        <v>265</v>
      </c>
      <c r="F32" s="1016"/>
      <c r="G32" s="259" t="s">
        <v>266</v>
      </c>
      <c r="H32" s="1015" t="s">
        <v>265</v>
      </c>
      <c r="I32" s="1016"/>
      <c r="J32" s="259" t="s">
        <v>266</v>
      </c>
      <c r="K32" s="1015" t="s">
        <v>265</v>
      </c>
      <c r="L32" s="1016"/>
      <c r="M32" s="259" t="s">
        <v>266</v>
      </c>
      <c r="N32" s="1015" t="s">
        <v>265</v>
      </c>
      <c r="O32" s="1016"/>
      <c r="P32" s="259" t="s">
        <v>266</v>
      </c>
      <c r="Q32" s="1015" t="s">
        <v>265</v>
      </c>
      <c r="R32" s="1016"/>
      <c r="S32" s="259" t="s">
        <v>266</v>
      </c>
      <c r="T32" s="689" t="s">
        <v>752</v>
      </c>
      <c r="U32" s="1090"/>
      <c r="V32" s="1090"/>
      <c r="W32" s="1090"/>
    </row>
    <row r="33" spans="1:23" ht="24.95" customHeight="1" thickBot="1" x14ac:dyDescent="0.25">
      <c r="A33" s="1043"/>
      <c r="B33" s="1046"/>
      <c r="C33" s="1047"/>
      <c r="D33" s="248"/>
      <c r="E33" s="1017"/>
      <c r="F33" s="1018"/>
      <c r="G33" s="249"/>
      <c r="H33" s="1017"/>
      <c r="I33" s="1018"/>
      <c r="J33" s="249"/>
      <c r="K33" s="1017"/>
      <c r="L33" s="1018"/>
      <c r="M33" s="249"/>
      <c r="N33" s="1017"/>
      <c r="O33" s="1018"/>
      <c r="P33" s="249"/>
      <c r="Q33" s="1017"/>
      <c r="R33" s="1018"/>
      <c r="S33" s="249"/>
      <c r="T33" s="689" t="s">
        <v>752</v>
      </c>
      <c r="U33" s="1090"/>
      <c r="V33" s="1090"/>
      <c r="W33" s="1090"/>
    </row>
    <row r="34" spans="1:23" ht="18" customHeight="1" x14ac:dyDescent="0.2">
      <c r="A34" s="521" t="s">
        <v>773</v>
      </c>
      <c r="B34" s="1035" t="str">
        <f>(IF(ISBLANK(B33),"","Enter Lease Details"))</f>
        <v/>
      </c>
      <c r="C34" s="1040"/>
      <c r="D34" s="1040"/>
      <c r="E34" s="1102" t="str">
        <f>(IF(ISBLANK(E33),"","Enter Lease Details"))</f>
        <v/>
      </c>
      <c r="F34" s="1103"/>
      <c r="G34" s="1103"/>
      <c r="H34" s="1102" t="str">
        <f>(IF(ISBLANK(H33),"","Enter Lease Details"))</f>
        <v/>
      </c>
      <c r="I34" s="1103"/>
      <c r="J34" s="1103"/>
      <c r="K34" s="1102" t="str">
        <f>(IF(ISBLANK(K33),"","Enter Lease Details"))</f>
        <v/>
      </c>
      <c r="L34" s="1103"/>
      <c r="M34" s="1103"/>
      <c r="N34" s="1102" t="str">
        <f>(IF(ISBLANK(N33),"","Enter Lease Details"))</f>
        <v/>
      </c>
      <c r="O34" s="1103"/>
      <c r="P34" s="1103"/>
      <c r="Q34" s="1102" t="str">
        <f>(IF(ISBLANK(Q33),"","Enter Lease Details"))</f>
        <v/>
      </c>
      <c r="R34" s="1103"/>
      <c r="S34" s="1103"/>
      <c r="T34" s="1090" t="s">
        <v>752</v>
      </c>
      <c r="U34" s="1090"/>
      <c r="V34" s="1090"/>
      <c r="W34" s="1090"/>
    </row>
    <row r="35" spans="1:23" ht="3.75" customHeight="1" x14ac:dyDescent="0.2">
      <c r="A35" s="1090" t="s">
        <v>757</v>
      </c>
      <c r="B35" s="1090"/>
      <c r="C35" s="1090"/>
      <c r="D35" s="1090"/>
      <c r="E35" s="1090"/>
      <c r="F35" s="1090"/>
      <c r="G35" s="1090"/>
      <c r="H35" s="1090"/>
      <c r="I35" s="1090"/>
      <c r="J35" s="1090"/>
      <c r="K35" s="1090"/>
      <c r="L35" s="1090"/>
      <c r="M35" s="1090"/>
      <c r="N35" s="1090"/>
      <c r="O35" s="1090"/>
      <c r="P35" s="1090"/>
      <c r="Q35" s="1090"/>
      <c r="R35" s="1090"/>
      <c r="S35" s="1090"/>
      <c r="T35" s="1090"/>
      <c r="U35" s="1090"/>
      <c r="V35" s="1090"/>
      <c r="W35" s="1090"/>
    </row>
  </sheetData>
  <sheetProtection sheet="1" objects="1" scenarios="1"/>
  <mergeCells count="191">
    <mergeCell ref="T33:W33"/>
    <mergeCell ref="T34:W34"/>
    <mergeCell ref="T24:W24"/>
    <mergeCell ref="T25:W25"/>
    <mergeCell ref="T26:W26"/>
    <mergeCell ref="T27:W27"/>
    <mergeCell ref="T28:W28"/>
    <mergeCell ref="T29:W29"/>
    <mergeCell ref="T30:W30"/>
    <mergeCell ref="T31:W31"/>
    <mergeCell ref="T32:W32"/>
    <mergeCell ref="T12:W12"/>
    <mergeCell ref="T13:W13"/>
    <mergeCell ref="T14:W14"/>
    <mergeCell ref="T19:W19"/>
    <mergeCell ref="B20:S20"/>
    <mergeCell ref="T20:W20"/>
    <mergeCell ref="T21:W21"/>
    <mergeCell ref="T22:W22"/>
    <mergeCell ref="T23:W23"/>
    <mergeCell ref="R12:S12"/>
    <mergeCell ref="I12:J12"/>
    <mergeCell ref="O12:P12"/>
    <mergeCell ref="L12:M12"/>
    <mergeCell ref="F15:G15"/>
    <mergeCell ref="R14:S14"/>
    <mergeCell ref="S16:S18"/>
    <mergeCell ref="P16:P18"/>
    <mergeCell ref="R15:S15"/>
    <mergeCell ref="R19:S19"/>
    <mergeCell ref="A22:S22"/>
    <mergeCell ref="C19:D19"/>
    <mergeCell ref="D16:D18"/>
    <mergeCell ref="G16:G18"/>
    <mergeCell ref="H23:J23"/>
    <mergeCell ref="T3:W3"/>
    <mergeCell ref="T4:W4"/>
    <mergeCell ref="T5:W5"/>
    <mergeCell ref="T6:W6"/>
    <mergeCell ref="T7:W7"/>
    <mergeCell ref="T8:W8"/>
    <mergeCell ref="T9:W9"/>
    <mergeCell ref="T10:W10"/>
    <mergeCell ref="T11:W11"/>
    <mergeCell ref="N2:S2"/>
    <mergeCell ref="A21:M21"/>
    <mergeCell ref="N21:S21"/>
    <mergeCell ref="A26:M26"/>
    <mergeCell ref="N26:S26"/>
    <mergeCell ref="N4:P4"/>
    <mergeCell ref="Q4:S4"/>
    <mergeCell ref="Q25:S25"/>
    <mergeCell ref="C8:D8"/>
    <mergeCell ref="C10:D10"/>
    <mergeCell ref="E4:G4"/>
    <mergeCell ref="H4:J4"/>
    <mergeCell ref="K4:M4"/>
    <mergeCell ref="C11:D11"/>
    <mergeCell ref="F11:G11"/>
    <mergeCell ref="E25:G25"/>
    <mergeCell ref="C7:D7"/>
    <mergeCell ref="B4:D4"/>
    <mergeCell ref="C5:D5"/>
    <mergeCell ref="F10:G10"/>
    <mergeCell ref="C6:D6"/>
    <mergeCell ref="F6:G6"/>
    <mergeCell ref="I6:J6"/>
    <mergeCell ref="I8:J8"/>
    <mergeCell ref="C9:D9"/>
    <mergeCell ref="I9:J9"/>
    <mergeCell ref="F7:G7"/>
    <mergeCell ref="I7:J7"/>
    <mergeCell ref="T15:W18"/>
    <mergeCell ref="L9:M9"/>
    <mergeCell ref="O9:P9"/>
    <mergeCell ref="R9:S9"/>
    <mergeCell ref="R11:S11"/>
    <mergeCell ref="L11:M11"/>
    <mergeCell ref="O11:P11"/>
    <mergeCell ref="O14:P14"/>
    <mergeCell ref="R13:S13"/>
    <mergeCell ref="L13:M13"/>
    <mergeCell ref="I11:J11"/>
    <mergeCell ref="F9:G9"/>
    <mergeCell ref="C12:D12"/>
    <mergeCell ref="I13:J13"/>
    <mergeCell ref="F12:G12"/>
    <mergeCell ref="I10:J10"/>
    <mergeCell ref="L10:M10"/>
    <mergeCell ref="O10:P10"/>
    <mergeCell ref="R10:S10"/>
    <mergeCell ref="F13:G13"/>
    <mergeCell ref="R5:S5"/>
    <mergeCell ref="F5:G5"/>
    <mergeCell ref="I5:J5"/>
    <mergeCell ref="L5:M5"/>
    <mergeCell ref="O5:P5"/>
    <mergeCell ref="O8:P8"/>
    <mergeCell ref="R8:S8"/>
    <mergeCell ref="L6:M6"/>
    <mergeCell ref="L8:M8"/>
    <mergeCell ref="F8:G8"/>
    <mergeCell ref="O6:P6"/>
    <mergeCell ref="R6:S6"/>
    <mergeCell ref="O7:P7"/>
    <mergeCell ref="R7:S7"/>
    <mergeCell ref="L7:M7"/>
    <mergeCell ref="C14:D14"/>
    <mergeCell ref="L14:M14"/>
    <mergeCell ref="O13:P13"/>
    <mergeCell ref="F24:G24"/>
    <mergeCell ref="I24:J24"/>
    <mergeCell ref="C13:D13"/>
    <mergeCell ref="E34:G34"/>
    <mergeCell ref="C24:D24"/>
    <mergeCell ref="H25:J25"/>
    <mergeCell ref="B31:D31"/>
    <mergeCell ref="B29:C29"/>
    <mergeCell ref="B30:C30"/>
    <mergeCell ref="I14:J14"/>
    <mergeCell ref="E28:G28"/>
    <mergeCell ref="H30:I30"/>
    <mergeCell ref="K30:L30"/>
    <mergeCell ref="H29:I29"/>
    <mergeCell ref="E30:F30"/>
    <mergeCell ref="E29:F29"/>
    <mergeCell ref="J16:J18"/>
    <mergeCell ref="L19:M19"/>
    <mergeCell ref="K28:M28"/>
    <mergeCell ref="K29:L29"/>
    <mergeCell ref="E32:F32"/>
    <mergeCell ref="H32:I32"/>
    <mergeCell ref="K32:L32"/>
    <mergeCell ref="N28:P28"/>
    <mergeCell ref="N32:O32"/>
    <mergeCell ref="Q34:S34"/>
    <mergeCell ref="N34:P34"/>
    <mergeCell ref="K25:M25"/>
    <mergeCell ref="H34:J34"/>
    <mergeCell ref="K34:M34"/>
    <mergeCell ref="Q33:R33"/>
    <mergeCell ref="N33:O33"/>
    <mergeCell ref="N30:O30"/>
    <mergeCell ref="T1:W1"/>
    <mergeCell ref="T2:W2"/>
    <mergeCell ref="A1:S1"/>
    <mergeCell ref="E31:G31"/>
    <mergeCell ref="H31:J31"/>
    <mergeCell ref="K31:M31"/>
    <mergeCell ref="N31:P31"/>
    <mergeCell ref="Q31:S31"/>
    <mergeCell ref="O24:P24"/>
    <mergeCell ref="R24:S24"/>
    <mergeCell ref="B23:D23"/>
    <mergeCell ref="E23:G23"/>
    <mergeCell ref="A3:S3"/>
    <mergeCell ref="C15:D15"/>
    <mergeCell ref="O19:P19"/>
    <mergeCell ref="A2:H2"/>
    <mergeCell ref="I15:J15"/>
    <mergeCell ref="L15:M15"/>
    <mergeCell ref="I19:J19"/>
    <mergeCell ref="A27:S27"/>
    <mergeCell ref="Q28:S28"/>
    <mergeCell ref="Q29:R29"/>
    <mergeCell ref="N23:P23"/>
    <mergeCell ref="F19:G19"/>
    <mergeCell ref="O15:P15"/>
    <mergeCell ref="F14:G14"/>
    <mergeCell ref="Q30:R30"/>
    <mergeCell ref="M16:M18"/>
    <mergeCell ref="Q23:S23"/>
    <mergeCell ref="K23:M23"/>
    <mergeCell ref="A35:W35"/>
    <mergeCell ref="I2:K2"/>
    <mergeCell ref="L2:M2"/>
    <mergeCell ref="L24:M24"/>
    <mergeCell ref="H28:J28"/>
    <mergeCell ref="A29:A30"/>
    <mergeCell ref="B34:D34"/>
    <mergeCell ref="A32:A33"/>
    <mergeCell ref="B32:C32"/>
    <mergeCell ref="B33:C33"/>
    <mergeCell ref="B25:D25"/>
    <mergeCell ref="Q32:R32"/>
    <mergeCell ref="N29:O29"/>
    <mergeCell ref="B28:D28"/>
    <mergeCell ref="N25:P25"/>
    <mergeCell ref="E33:F33"/>
    <mergeCell ref="H33:I33"/>
    <mergeCell ref="K33:L33"/>
  </mergeCells>
  <phoneticPr fontId="6" type="noConversion"/>
  <conditionalFormatting sqref="B33:D33">
    <cfRule type="expression" dxfId="70" priority="1" stopIfTrue="1">
      <formula>IF(ISBLANK($D$30),FALSE,TRUE)</formula>
    </cfRule>
  </conditionalFormatting>
  <conditionalFormatting sqref="E33:G33">
    <cfRule type="expression" dxfId="69" priority="2" stopIfTrue="1">
      <formula>IF(ISBLANK($G$30),FALSE,TRUE)</formula>
    </cfRule>
  </conditionalFormatting>
  <conditionalFormatting sqref="H33:J33">
    <cfRule type="expression" dxfId="68" priority="3" stopIfTrue="1">
      <formula>IF(ISBLANK($J$30),FALSE,TRUE)</formula>
    </cfRule>
  </conditionalFormatting>
  <conditionalFormatting sqref="K33:M33">
    <cfRule type="expression" dxfId="67" priority="4" stopIfTrue="1">
      <formula>IF(ISBLANK($M$30),FALSE,TRUE)</formula>
    </cfRule>
  </conditionalFormatting>
  <conditionalFormatting sqref="N33:P33">
    <cfRule type="expression" dxfId="66" priority="5" stopIfTrue="1">
      <formula>IF(ISBLANK($P$30),FALSE,TRUE)</formula>
    </cfRule>
  </conditionalFormatting>
  <conditionalFormatting sqref="Q33:S33">
    <cfRule type="expression" dxfId="65" priority="6" stopIfTrue="1">
      <formula>IF(ISBLANK($S$30),FALSE,TRUE)</formula>
    </cfRule>
  </conditionalFormatting>
  <hyperlinks>
    <hyperlink ref="A2:C2" location="def_portable" display="Section 1: Utilization - Portable Equipment" xr:uid="{00000000-0004-0000-0900-000000000000}"/>
    <hyperlink ref="B34" location="lease_detail" display="lease_detail" xr:uid="{00000000-0004-0000-0900-000001000000}"/>
    <hyperlink ref="E34" location="lease_detail" display="lease_detail" xr:uid="{00000000-0004-0000-0900-000002000000}"/>
    <hyperlink ref="H34" location="lease_detail" display="lease_detail" xr:uid="{00000000-0004-0000-0900-000003000000}"/>
    <hyperlink ref="K34" location="lease_detail" display="lease_detail" xr:uid="{00000000-0004-0000-0900-000004000000}"/>
    <hyperlink ref="N34" location="lease_detail" display="lease_detail" xr:uid="{00000000-0004-0000-0900-000005000000}"/>
    <hyperlink ref="Q34" location="lease_detail" display="lease_detail" xr:uid="{00000000-0004-0000-0900-000006000000}"/>
    <hyperlink ref="E31" location="lease_detail" display="lease_detail" xr:uid="{00000000-0004-0000-0900-000007000000}"/>
    <hyperlink ref="B31" location="lease_detail" display="lease_detail" xr:uid="{00000000-0004-0000-0900-000008000000}"/>
    <hyperlink ref="H31" location="lease_detail" display="lease_detail" xr:uid="{00000000-0004-0000-0900-000009000000}"/>
    <hyperlink ref="K31" location="lease_detail" display="lease_detail" xr:uid="{00000000-0004-0000-0900-00000A000000}"/>
    <hyperlink ref="N31" location="lease_detail" display="lease_detail" xr:uid="{00000000-0004-0000-0900-00000B000000}"/>
    <hyperlink ref="Q31" location="lease_detail" display="lease_detail" xr:uid="{00000000-0004-0000-0900-00000C000000}"/>
    <hyperlink ref="N2:S2" location="text_04" display="Document Explanations if needed" xr:uid="{00000000-0004-0000-0900-00000D000000}"/>
    <hyperlink ref="N21:S21" location="text_05" display="Document Explanations if needed" xr:uid="{00000000-0004-0000-0900-00000E000000}"/>
    <hyperlink ref="N26:S26" location="text_06" display="Document Explanations if needed" xr:uid="{00000000-0004-0000-0900-00000F000000}"/>
  </hyperlinks>
  <printOptions horizontalCentered="1"/>
  <pageMargins left="0.75" right="0.75" top="1" bottom="1" header="0.5" footer="0.5"/>
  <pageSetup scale="51" orientation="portrait" r:id="rId1"/>
  <headerFooter alignWithMargins="0">
    <oddFooter>&amp;L&amp;"Calibri,Regular"Diagnostic Imaging Facility Utilization Report
Fiscal Year 2024
&amp;C&amp;"Calibri,Regular"&amp;P of &amp;N&amp;R&amp;"Calibri,Regular"Minnesota Department of Health
Phone 651-201-3572
health.hccis@state.mn.us</oddFooter>
  </headerFooter>
  <colBreaks count="1" manualBreakCount="1">
    <brk id="1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W36"/>
  <sheetViews>
    <sheetView zoomScaleNormal="100" workbookViewId="0">
      <selection sqref="A1:S1"/>
    </sheetView>
  </sheetViews>
  <sheetFormatPr defaultColWidth="0" defaultRowHeight="24.95" customHeight="1" zeroHeight="1" x14ac:dyDescent="0.2"/>
  <cols>
    <col min="1" max="1" width="25.7109375" style="122" customWidth="1"/>
    <col min="2" max="2" width="5.7109375" style="122" customWidth="1"/>
    <col min="3" max="4" width="9.140625" style="122" customWidth="1"/>
    <col min="5" max="5" width="5.85546875" style="122" customWidth="1"/>
    <col min="6" max="7" width="9.140625" style="122" customWidth="1"/>
    <col min="8" max="8" width="5.7109375" style="122" customWidth="1"/>
    <col min="9" max="10" width="9.140625" style="122" customWidth="1"/>
    <col min="11" max="11" width="5.7109375" style="122" customWidth="1"/>
    <col min="12" max="13" width="9.140625" style="122" customWidth="1"/>
    <col min="14" max="14" width="5.7109375" style="122" customWidth="1"/>
    <col min="15" max="16" width="9.140625" style="122" customWidth="1"/>
    <col min="17" max="17" width="5.7109375" style="122" customWidth="1"/>
    <col min="18" max="23" width="9.140625" style="122" customWidth="1"/>
    <col min="24" max="16384" width="9.140625" style="122" hidden="1"/>
  </cols>
  <sheetData>
    <row r="1" spans="1:23" ht="24.95" customHeight="1" thickBot="1" x14ac:dyDescent="0.25">
      <c r="A1" s="1097" t="e">
        <f>CONCATENATE('Demog Contact'!D$5," ",'Demog Contact'!D$6)</f>
        <v>#N/A</v>
      </c>
      <c r="B1" s="1098"/>
      <c r="C1" s="1098"/>
      <c r="D1" s="1098"/>
      <c r="E1" s="1098"/>
      <c r="F1" s="1098"/>
      <c r="G1" s="1098"/>
      <c r="H1" s="1098"/>
      <c r="I1" s="1098"/>
      <c r="J1" s="1098"/>
      <c r="K1" s="1098"/>
      <c r="L1" s="1098"/>
      <c r="M1" s="1098"/>
      <c r="N1" s="1098"/>
      <c r="O1" s="1098"/>
      <c r="P1" s="1098"/>
      <c r="Q1" s="1098"/>
      <c r="R1" s="1098"/>
      <c r="S1" s="1098"/>
    </row>
    <row r="2" spans="1:23" ht="24.95" customHeight="1" x14ac:dyDescent="0.2">
      <c r="A2" s="1099" t="s">
        <v>763</v>
      </c>
      <c r="B2" s="1100"/>
      <c r="C2" s="1100"/>
      <c r="D2" s="1101"/>
      <c r="E2" s="1101"/>
      <c r="F2" s="1101"/>
      <c r="G2" s="1101"/>
      <c r="H2" s="1101"/>
      <c r="I2" s="1091" t="str">
        <f>CONCATENATE("Fiscal Year ",'Demog Contact'!L1)</f>
        <v>Fiscal Year 2024</v>
      </c>
      <c r="J2" s="1091"/>
      <c r="K2" s="1091"/>
      <c r="L2" s="1092" t="s">
        <v>752</v>
      </c>
      <c r="M2" s="1092"/>
      <c r="N2" s="1077" t="s">
        <v>409</v>
      </c>
      <c r="O2" s="1077"/>
      <c r="P2" s="1077"/>
      <c r="Q2" s="1077"/>
      <c r="R2" s="1077"/>
      <c r="S2" s="1078"/>
      <c r="T2" s="929" t="s">
        <v>752</v>
      </c>
      <c r="U2" s="928"/>
      <c r="V2" s="928"/>
      <c r="W2" s="928"/>
    </row>
    <row r="3" spans="1:23" ht="24.95" customHeight="1" x14ac:dyDescent="0.2">
      <c r="A3" s="1063" t="s">
        <v>662</v>
      </c>
      <c r="B3" s="1038"/>
      <c r="C3" s="1038"/>
      <c r="D3" s="1038"/>
      <c r="E3" s="1038"/>
      <c r="F3" s="1038"/>
      <c r="G3" s="1038"/>
      <c r="H3" s="1038"/>
      <c r="I3" s="1038"/>
      <c r="J3" s="1038"/>
      <c r="K3" s="1038"/>
      <c r="L3" s="1038"/>
      <c r="M3" s="1038"/>
      <c r="N3" s="1038"/>
      <c r="O3" s="1038"/>
      <c r="P3" s="1038"/>
      <c r="Q3" s="1038"/>
      <c r="R3" s="1038"/>
      <c r="S3" s="1039"/>
      <c r="T3" s="929" t="s">
        <v>752</v>
      </c>
      <c r="U3" s="928"/>
      <c r="V3" s="928"/>
      <c r="W3" s="928"/>
    </row>
    <row r="4" spans="1:23" ht="24.95" customHeight="1" x14ac:dyDescent="0.2">
      <c r="A4" s="539" t="s">
        <v>752</v>
      </c>
      <c r="B4" s="934" t="s">
        <v>37</v>
      </c>
      <c r="C4" s="904"/>
      <c r="D4" s="1137"/>
      <c r="E4" s="934" t="s">
        <v>36</v>
      </c>
      <c r="F4" s="904"/>
      <c r="G4" s="1137"/>
      <c r="H4" s="934" t="s">
        <v>250</v>
      </c>
      <c r="I4" s="904"/>
      <c r="J4" s="1137"/>
      <c r="K4" s="934" t="s">
        <v>249</v>
      </c>
      <c r="L4" s="904"/>
      <c r="M4" s="1137"/>
      <c r="N4" s="934" t="s">
        <v>248</v>
      </c>
      <c r="O4" s="904"/>
      <c r="P4" s="1137"/>
      <c r="Q4" s="934" t="s">
        <v>264</v>
      </c>
      <c r="R4" s="904"/>
      <c r="S4" s="1137"/>
      <c r="T4" s="929" t="s">
        <v>752</v>
      </c>
      <c r="U4" s="928"/>
      <c r="V4" s="928"/>
      <c r="W4" s="928"/>
    </row>
    <row r="5" spans="1:23" ht="24.95" customHeight="1" x14ac:dyDescent="0.2">
      <c r="A5" s="234" t="s">
        <v>148</v>
      </c>
      <c r="B5" s="260">
        <v>7900</v>
      </c>
      <c r="C5" s="1011"/>
      <c r="D5" s="1012"/>
      <c r="E5" s="260">
        <v>7915</v>
      </c>
      <c r="F5" s="1011"/>
      <c r="G5" s="1012"/>
      <c r="H5" s="260">
        <v>7930</v>
      </c>
      <c r="I5" s="1011"/>
      <c r="J5" s="1012"/>
      <c r="K5" s="260">
        <v>7945</v>
      </c>
      <c r="L5" s="1011"/>
      <c r="M5" s="1012"/>
      <c r="N5" s="260">
        <v>7960</v>
      </c>
      <c r="O5" s="1011"/>
      <c r="P5" s="1012"/>
      <c r="Q5" s="260">
        <v>7975</v>
      </c>
      <c r="R5" s="1011"/>
      <c r="S5" s="1012"/>
      <c r="T5" s="929" t="s">
        <v>752</v>
      </c>
      <c r="U5" s="928"/>
      <c r="V5" s="928"/>
      <c r="W5" s="928"/>
    </row>
    <row r="6" spans="1:23" ht="24.95" customHeight="1" x14ac:dyDescent="0.2">
      <c r="A6" s="234" t="s">
        <v>255</v>
      </c>
      <c r="B6" s="260">
        <v>7901</v>
      </c>
      <c r="C6" s="1011"/>
      <c r="D6" s="1012"/>
      <c r="E6" s="260">
        <v>7916</v>
      </c>
      <c r="F6" s="1011"/>
      <c r="G6" s="1012"/>
      <c r="H6" s="260">
        <v>7931</v>
      </c>
      <c r="I6" s="1011"/>
      <c r="J6" s="1012"/>
      <c r="K6" s="260">
        <v>7946</v>
      </c>
      <c r="L6" s="1011"/>
      <c r="M6" s="1012"/>
      <c r="N6" s="260">
        <v>7961</v>
      </c>
      <c r="O6" s="1011"/>
      <c r="P6" s="1012"/>
      <c r="Q6" s="260">
        <v>7976</v>
      </c>
      <c r="R6" s="1011"/>
      <c r="S6" s="1012"/>
      <c r="T6" s="929" t="s">
        <v>752</v>
      </c>
      <c r="U6" s="928"/>
      <c r="V6" s="928"/>
      <c r="W6" s="928"/>
    </row>
    <row r="7" spans="1:23" ht="24.95" customHeight="1" x14ac:dyDescent="0.2">
      <c r="A7" s="234" t="s">
        <v>149</v>
      </c>
      <c r="B7" s="260">
        <v>7902</v>
      </c>
      <c r="C7" s="1006"/>
      <c r="D7" s="1007"/>
      <c r="E7" s="260">
        <v>7917</v>
      </c>
      <c r="F7" s="1006"/>
      <c r="G7" s="1007"/>
      <c r="H7" s="260">
        <v>7932</v>
      </c>
      <c r="I7" s="1006"/>
      <c r="J7" s="1007"/>
      <c r="K7" s="260">
        <v>7947</v>
      </c>
      <c r="L7" s="1006"/>
      <c r="M7" s="1007"/>
      <c r="N7" s="260">
        <v>7962</v>
      </c>
      <c r="O7" s="1006"/>
      <c r="P7" s="1007"/>
      <c r="Q7" s="260">
        <v>7977</v>
      </c>
      <c r="R7" s="1006"/>
      <c r="S7" s="1007"/>
      <c r="T7" s="929" t="s">
        <v>752</v>
      </c>
      <c r="U7" s="928"/>
      <c r="V7" s="928"/>
      <c r="W7" s="928"/>
    </row>
    <row r="8" spans="1:23" ht="24.95" customHeight="1" x14ac:dyDescent="0.2">
      <c r="A8" s="234" t="s">
        <v>208</v>
      </c>
      <c r="B8" s="260">
        <v>7903</v>
      </c>
      <c r="C8" s="1006"/>
      <c r="D8" s="1007"/>
      <c r="E8" s="260">
        <v>7918</v>
      </c>
      <c r="F8" s="1006"/>
      <c r="G8" s="1007"/>
      <c r="H8" s="260">
        <v>7933</v>
      </c>
      <c r="I8" s="1006"/>
      <c r="J8" s="1007"/>
      <c r="K8" s="260">
        <v>7948</v>
      </c>
      <c r="L8" s="1006"/>
      <c r="M8" s="1007"/>
      <c r="N8" s="260">
        <v>7963</v>
      </c>
      <c r="O8" s="1006"/>
      <c r="P8" s="1007"/>
      <c r="Q8" s="260">
        <v>7978</v>
      </c>
      <c r="R8" s="1006"/>
      <c r="S8" s="1007"/>
      <c r="T8" s="929" t="s">
        <v>752</v>
      </c>
      <c r="U8" s="928"/>
      <c r="V8" s="928"/>
      <c r="W8" s="928"/>
    </row>
    <row r="9" spans="1:23" ht="24.95" customHeight="1" x14ac:dyDescent="0.2">
      <c r="A9" s="234" t="s">
        <v>209</v>
      </c>
      <c r="B9" s="260">
        <v>7904</v>
      </c>
      <c r="C9" s="1006"/>
      <c r="D9" s="1007"/>
      <c r="E9" s="260">
        <v>7919</v>
      </c>
      <c r="F9" s="1006"/>
      <c r="G9" s="1007"/>
      <c r="H9" s="260">
        <v>7934</v>
      </c>
      <c r="I9" s="1006"/>
      <c r="J9" s="1007"/>
      <c r="K9" s="260">
        <v>7949</v>
      </c>
      <c r="L9" s="1006"/>
      <c r="M9" s="1007"/>
      <c r="N9" s="260">
        <v>7964</v>
      </c>
      <c r="O9" s="1006"/>
      <c r="P9" s="1007"/>
      <c r="Q9" s="260">
        <v>7979</v>
      </c>
      <c r="R9" s="1006"/>
      <c r="S9" s="1007"/>
      <c r="T9" s="929" t="s">
        <v>752</v>
      </c>
      <c r="U9" s="928"/>
      <c r="V9" s="928"/>
      <c r="W9" s="928"/>
    </row>
    <row r="10" spans="1:23" ht="24.95" customHeight="1" x14ac:dyDescent="0.2">
      <c r="A10" s="234" t="s">
        <v>151</v>
      </c>
      <c r="B10" s="260">
        <v>7905</v>
      </c>
      <c r="C10" s="1006"/>
      <c r="D10" s="1007"/>
      <c r="E10" s="260">
        <v>7920</v>
      </c>
      <c r="F10" s="1006"/>
      <c r="G10" s="1007"/>
      <c r="H10" s="260">
        <v>7935</v>
      </c>
      <c r="I10" s="1006"/>
      <c r="J10" s="1007"/>
      <c r="K10" s="260">
        <v>7950</v>
      </c>
      <c r="L10" s="1006"/>
      <c r="M10" s="1007"/>
      <c r="N10" s="260">
        <v>7965</v>
      </c>
      <c r="O10" s="1006"/>
      <c r="P10" s="1007"/>
      <c r="Q10" s="260">
        <v>7980</v>
      </c>
      <c r="R10" s="1006"/>
      <c r="S10" s="1007"/>
      <c r="T10" s="929" t="s">
        <v>752</v>
      </c>
      <c r="U10" s="928"/>
      <c r="V10" s="928"/>
      <c r="W10" s="928"/>
    </row>
    <row r="11" spans="1:23" ht="24.95" customHeight="1" x14ac:dyDescent="0.2">
      <c r="A11" s="234" t="s">
        <v>156</v>
      </c>
      <c r="B11" s="260">
        <v>7906</v>
      </c>
      <c r="C11" s="1006"/>
      <c r="D11" s="1007"/>
      <c r="E11" s="260">
        <v>7921</v>
      </c>
      <c r="F11" s="1006"/>
      <c r="G11" s="1007"/>
      <c r="H11" s="260">
        <v>7936</v>
      </c>
      <c r="I11" s="1006"/>
      <c r="J11" s="1007"/>
      <c r="K11" s="260">
        <v>7951</v>
      </c>
      <c r="L11" s="1006"/>
      <c r="M11" s="1007"/>
      <c r="N11" s="260">
        <v>7966</v>
      </c>
      <c r="O11" s="1006"/>
      <c r="P11" s="1007"/>
      <c r="Q11" s="260">
        <v>7981</v>
      </c>
      <c r="R11" s="1006"/>
      <c r="S11" s="1007"/>
      <c r="T11" s="929" t="s">
        <v>752</v>
      </c>
      <c r="U11" s="928"/>
      <c r="V11" s="928"/>
      <c r="W11" s="928"/>
    </row>
    <row r="12" spans="1:23" ht="24.95" customHeight="1" x14ac:dyDescent="0.2">
      <c r="A12" s="234" t="s">
        <v>160</v>
      </c>
      <c r="B12" s="260">
        <v>7907</v>
      </c>
      <c r="C12" s="1006"/>
      <c r="D12" s="1007"/>
      <c r="E12" s="260">
        <v>7922</v>
      </c>
      <c r="F12" s="1006"/>
      <c r="G12" s="1007"/>
      <c r="H12" s="260">
        <v>7937</v>
      </c>
      <c r="I12" s="1006"/>
      <c r="J12" s="1007"/>
      <c r="K12" s="260">
        <v>7952</v>
      </c>
      <c r="L12" s="1006"/>
      <c r="M12" s="1007"/>
      <c r="N12" s="260">
        <v>7967</v>
      </c>
      <c r="O12" s="1006"/>
      <c r="P12" s="1007"/>
      <c r="Q12" s="260">
        <v>7982</v>
      </c>
      <c r="R12" s="1006"/>
      <c r="S12" s="1007"/>
      <c r="T12" s="929" t="s">
        <v>752</v>
      </c>
      <c r="U12" s="928"/>
      <c r="V12" s="928"/>
      <c r="W12" s="928"/>
    </row>
    <row r="13" spans="1:23" ht="24.95" customHeight="1" x14ac:dyDescent="0.2">
      <c r="A13" s="234" t="s">
        <v>150</v>
      </c>
      <c r="B13" s="260">
        <v>7908</v>
      </c>
      <c r="C13" s="1006"/>
      <c r="D13" s="1007"/>
      <c r="E13" s="260">
        <v>7923</v>
      </c>
      <c r="F13" s="1006"/>
      <c r="G13" s="1007"/>
      <c r="H13" s="260">
        <v>7938</v>
      </c>
      <c r="I13" s="1006"/>
      <c r="J13" s="1007"/>
      <c r="K13" s="260">
        <v>7953</v>
      </c>
      <c r="L13" s="1006"/>
      <c r="M13" s="1007"/>
      <c r="N13" s="260">
        <v>7968</v>
      </c>
      <c r="O13" s="1006"/>
      <c r="P13" s="1007"/>
      <c r="Q13" s="260">
        <v>7983</v>
      </c>
      <c r="R13" s="1006"/>
      <c r="S13" s="1007"/>
      <c r="T13" s="929" t="s">
        <v>752</v>
      </c>
      <c r="U13" s="928"/>
      <c r="V13" s="928"/>
      <c r="W13" s="928"/>
    </row>
    <row r="14" spans="1:23" ht="24.95" customHeight="1" x14ac:dyDescent="0.2">
      <c r="A14" s="234" t="s">
        <v>152</v>
      </c>
      <c r="B14" s="260">
        <v>7909</v>
      </c>
      <c r="C14" s="1006"/>
      <c r="D14" s="1007"/>
      <c r="E14" s="260">
        <v>7924</v>
      </c>
      <c r="F14" s="1006"/>
      <c r="G14" s="1007"/>
      <c r="H14" s="260">
        <v>7939</v>
      </c>
      <c r="I14" s="1006"/>
      <c r="J14" s="1007"/>
      <c r="K14" s="260">
        <v>7954</v>
      </c>
      <c r="L14" s="1006"/>
      <c r="M14" s="1007"/>
      <c r="N14" s="260">
        <v>7969</v>
      </c>
      <c r="O14" s="1006"/>
      <c r="P14" s="1007"/>
      <c r="Q14" s="260">
        <v>7984</v>
      </c>
      <c r="R14" s="1006"/>
      <c r="S14" s="1007"/>
      <c r="T14" s="929" t="s">
        <v>752</v>
      </c>
      <c r="U14" s="928"/>
      <c r="V14" s="928"/>
      <c r="W14" s="928"/>
    </row>
    <row r="15" spans="1:23" ht="24.95" customHeight="1" x14ac:dyDescent="0.2">
      <c r="A15" s="237" t="s">
        <v>716</v>
      </c>
      <c r="B15" s="260">
        <v>7910</v>
      </c>
      <c r="C15" s="1008">
        <f>SUM(C16:C18)</f>
        <v>0</v>
      </c>
      <c r="D15" s="1009"/>
      <c r="E15" s="260">
        <v>7925</v>
      </c>
      <c r="F15" s="1008">
        <f>SUM(F16:F18)</f>
        <v>0</v>
      </c>
      <c r="G15" s="1009"/>
      <c r="H15" s="260">
        <v>7940</v>
      </c>
      <c r="I15" s="1008">
        <f>SUM(I16:I18)</f>
        <v>0</v>
      </c>
      <c r="J15" s="1009"/>
      <c r="K15" s="260">
        <v>7955</v>
      </c>
      <c r="L15" s="1008">
        <f>SUM(L16:L18)</f>
        <v>0</v>
      </c>
      <c r="M15" s="1009"/>
      <c r="N15" s="260">
        <v>7970</v>
      </c>
      <c r="O15" s="1008">
        <f>SUM(O16:O18)</f>
        <v>0</v>
      </c>
      <c r="P15" s="1009"/>
      <c r="Q15" s="260">
        <v>7985</v>
      </c>
      <c r="R15" s="1008">
        <f>SUM(R16:R18)</f>
        <v>0</v>
      </c>
      <c r="S15" s="1009"/>
      <c r="T15" s="998" t="s">
        <v>668</v>
      </c>
      <c r="U15" s="998"/>
      <c r="V15" s="998"/>
      <c r="W15" s="999"/>
    </row>
    <row r="16" spans="1:23" ht="24.95" customHeight="1" x14ac:dyDescent="0.2">
      <c r="A16" s="451" t="s">
        <v>155</v>
      </c>
      <c r="B16" s="260">
        <v>7911</v>
      </c>
      <c r="C16" s="238"/>
      <c r="D16" s="1052"/>
      <c r="E16" s="260">
        <v>7926</v>
      </c>
      <c r="F16" s="455"/>
      <c r="G16" s="1052"/>
      <c r="H16" s="260">
        <v>7941</v>
      </c>
      <c r="I16" s="455"/>
      <c r="J16" s="1052"/>
      <c r="K16" s="260">
        <v>7956</v>
      </c>
      <c r="L16" s="455"/>
      <c r="M16" s="1052"/>
      <c r="N16" s="260">
        <v>7971</v>
      </c>
      <c r="O16" s="455"/>
      <c r="P16" s="1052"/>
      <c r="Q16" s="260">
        <v>7986</v>
      </c>
      <c r="R16" s="455"/>
      <c r="S16" s="1052"/>
      <c r="T16" s="1001"/>
      <c r="U16" s="1001"/>
      <c r="V16" s="1001"/>
      <c r="W16" s="1002"/>
    </row>
    <row r="17" spans="1:23" ht="24.95" hidden="1" customHeight="1" x14ac:dyDescent="0.2">
      <c r="A17" s="451"/>
      <c r="B17" s="260"/>
      <c r="C17" s="238"/>
      <c r="D17" s="1053"/>
      <c r="E17" s="260"/>
      <c r="F17" s="455"/>
      <c r="G17" s="1053"/>
      <c r="H17" s="260"/>
      <c r="I17" s="455"/>
      <c r="J17" s="1053"/>
      <c r="K17" s="260"/>
      <c r="L17" s="455"/>
      <c r="M17" s="1053"/>
      <c r="N17" s="260"/>
      <c r="O17" s="455"/>
      <c r="P17" s="1053"/>
      <c r="Q17" s="260"/>
      <c r="R17" s="455"/>
      <c r="S17" s="1053"/>
      <c r="T17" s="1001"/>
      <c r="U17" s="1001"/>
      <c r="V17" s="1001"/>
      <c r="W17" s="1002"/>
    </row>
    <row r="18" spans="1:23" ht="24.95" customHeight="1" x14ac:dyDescent="0.2">
      <c r="A18" s="451" t="s">
        <v>153</v>
      </c>
      <c r="B18" s="260">
        <v>7913</v>
      </c>
      <c r="C18" s="238"/>
      <c r="D18" s="1054"/>
      <c r="E18" s="260">
        <v>7928</v>
      </c>
      <c r="F18" s="455"/>
      <c r="G18" s="1054"/>
      <c r="H18" s="260">
        <v>7943</v>
      </c>
      <c r="I18" s="455"/>
      <c r="J18" s="1054"/>
      <c r="K18" s="260">
        <v>7958</v>
      </c>
      <c r="L18" s="455"/>
      <c r="M18" s="1054"/>
      <c r="N18" s="260">
        <v>7973</v>
      </c>
      <c r="O18" s="455"/>
      <c r="P18" s="1054"/>
      <c r="Q18" s="260">
        <v>7988</v>
      </c>
      <c r="R18" s="455"/>
      <c r="S18" s="1054"/>
      <c r="T18" s="1004"/>
      <c r="U18" s="1004"/>
      <c r="V18" s="1004"/>
      <c r="W18" s="1005"/>
    </row>
    <row r="19" spans="1:23" ht="24.95" customHeight="1" thickBot="1" x14ac:dyDescent="0.25">
      <c r="A19" s="253" t="s">
        <v>154</v>
      </c>
      <c r="B19" s="261">
        <v>7914</v>
      </c>
      <c r="C19" s="1060">
        <f>SUM(C5:D15)</f>
        <v>0</v>
      </c>
      <c r="D19" s="1056"/>
      <c r="E19" s="261">
        <v>7929</v>
      </c>
      <c r="F19" s="1060">
        <f>SUM(F5:G15)</f>
        <v>0</v>
      </c>
      <c r="G19" s="1056"/>
      <c r="H19" s="261">
        <v>7944</v>
      </c>
      <c r="I19" s="1060">
        <f>SUM(I5:J15)</f>
        <v>0</v>
      </c>
      <c r="J19" s="1056"/>
      <c r="K19" s="261">
        <v>7959</v>
      </c>
      <c r="L19" s="1060">
        <f>SUM(L5:M15)</f>
        <v>0</v>
      </c>
      <c r="M19" s="1056"/>
      <c r="N19" s="261">
        <v>7974</v>
      </c>
      <c r="O19" s="1060">
        <f>SUM(O5:P15)</f>
        <v>0</v>
      </c>
      <c r="P19" s="1136"/>
      <c r="Q19" s="262">
        <v>7989</v>
      </c>
      <c r="R19" s="1060">
        <f>SUM(R5:S15)</f>
        <v>0</v>
      </c>
      <c r="S19" s="1056"/>
      <c r="T19" s="929" t="s">
        <v>752</v>
      </c>
      <c r="U19" s="928"/>
      <c r="V19" s="928"/>
      <c r="W19" s="928"/>
    </row>
    <row r="20" spans="1:23" ht="24.75" customHeight="1" thickBot="1" x14ac:dyDescent="0.25">
      <c r="A20" s="538">
        <f>SUM(C19,F19,I19,L19,O19,R19)</f>
        <v>0</v>
      </c>
      <c r="B20" s="987" t="s">
        <v>752</v>
      </c>
      <c r="C20" s="987"/>
      <c r="D20" s="987"/>
      <c r="E20" s="987"/>
      <c r="F20" s="987"/>
      <c r="G20" s="987"/>
      <c r="H20" s="987"/>
      <c r="I20" s="987"/>
      <c r="J20" s="987"/>
      <c r="K20" s="987"/>
      <c r="L20" s="987"/>
      <c r="M20" s="987"/>
      <c r="N20" s="987"/>
      <c r="O20" s="987"/>
      <c r="P20" s="987"/>
      <c r="Q20" s="987"/>
      <c r="R20" s="987"/>
      <c r="S20" s="987"/>
      <c r="T20" s="875" t="s">
        <v>752</v>
      </c>
      <c r="U20" s="928"/>
      <c r="V20" s="928"/>
      <c r="W20" s="928"/>
    </row>
    <row r="21" spans="1:23" ht="24.95" customHeight="1" x14ac:dyDescent="0.2">
      <c r="A21" s="1104" t="s">
        <v>108</v>
      </c>
      <c r="B21" s="1082"/>
      <c r="C21" s="1082"/>
      <c r="D21" s="1082"/>
      <c r="E21" s="1082"/>
      <c r="F21" s="1082"/>
      <c r="G21" s="1082"/>
      <c r="H21" s="1082"/>
      <c r="I21" s="1082"/>
      <c r="J21" s="1082"/>
      <c r="K21" s="1082"/>
      <c r="L21" s="1082"/>
      <c r="M21" s="1082"/>
      <c r="N21" s="1064" t="s">
        <v>409</v>
      </c>
      <c r="O21" s="1064"/>
      <c r="P21" s="1064"/>
      <c r="Q21" s="1064"/>
      <c r="R21" s="1064"/>
      <c r="S21" s="1065"/>
      <c r="T21" s="875" t="s">
        <v>752</v>
      </c>
      <c r="U21" s="928"/>
      <c r="V21" s="928"/>
      <c r="W21" s="928"/>
    </row>
    <row r="22" spans="1:23" ht="24.95" customHeight="1" x14ac:dyDescent="0.2">
      <c r="A22" s="1037" t="s">
        <v>670</v>
      </c>
      <c r="B22" s="1038"/>
      <c r="C22" s="1038"/>
      <c r="D22" s="1038"/>
      <c r="E22" s="1038"/>
      <c r="F22" s="1038"/>
      <c r="G22" s="1038"/>
      <c r="H22" s="1038"/>
      <c r="I22" s="1038"/>
      <c r="J22" s="1038"/>
      <c r="K22" s="1038"/>
      <c r="L22" s="1038"/>
      <c r="M22" s="1038"/>
      <c r="N22" s="1038"/>
      <c r="O22" s="1038"/>
      <c r="P22" s="1038"/>
      <c r="Q22" s="1038"/>
      <c r="R22" s="1038"/>
      <c r="S22" s="1039"/>
      <c r="T22" s="875" t="s">
        <v>752</v>
      </c>
      <c r="U22" s="928"/>
      <c r="V22" s="928"/>
      <c r="W22" s="928"/>
    </row>
    <row r="23" spans="1:23" ht="24.95" customHeight="1" x14ac:dyDescent="0.2">
      <c r="A23" s="263"/>
      <c r="B23" s="681" t="s">
        <v>269</v>
      </c>
      <c r="C23" s="1132"/>
      <c r="D23" s="1133"/>
      <c r="E23" s="681" t="s">
        <v>270</v>
      </c>
      <c r="F23" s="1123"/>
      <c r="G23" s="1124"/>
      <c r="H23" s="681" t="s">
        <v>271</v>
      </c>
      <c r="I23" s="1128"/>
      <c r="J23" s="1129"/>
      <c r="K23" s="681" t="s">
        <v>272</v>
      </c>
      <c r="L23" s="1123"/>
      <c r="M23" s="1124"/>
      <c r="N23" s="681" t="s">
        <v>273</v>
      </c>
      <c r="O23" s="1123"/>
      <c r="P23" s="1124"/>
      <c r="Q23" s="681" t="s">
        <v>274</v>
      </c>
      <c r="R23" s="1123"/>
      <c r="S23" s="1124"/>
      <c r="T23" s="875" t="s">
        <v>752</v>
      </c>
      <c r="U23" s="928"/>
      <c r="V23" s="928"/>
      <c r="W23" s="928"/>
    </row>
    <row r="24" spans="1:23" ht="24.95" customHeight="1" thickBot="1" x14ac:dyDescent="0.25">
      <c r="A24" s="240" t="s">
        <v>671</v>
      </c>
      <c r="B24" s="264">
        <v>7197</v>
      </c>
      <c r="C24" s="1024"/>
      <c r="D24" s="1025"/>
      <c r="E24" s="264">
        <v>7201</v>
      </c>
      <c r="F24" s="1024"/>
      <c r="G24" s="1025"/>
      <c r="H24" s="264">
        <v>7314</v>
      </c>
      <c r="I24" s="1024"/>
      <c r="J24" s="1025"/>
      <c r="K24" s="264">
        <v>7191</v>
      </c>
      <c r="L24" s="1024"/>
      <c r="M24" s="1025"/>
      <c r="N24" s="264">
        <v>7321</v>
      </c>
      <c r="O24" s="1024"/>
      <c r="P24" s="1025"/>
      <c r="Q24" s="264">
        <v>7220</v>
      </c>
      <c r="R24" s="1024"/>
      <c r="S24" s="1025"/>
      <c r="T24" s="875" t="s">
        <v>752</v>
      </c>
      <c r="U24" s="928"/>
      <c r="V24" s="928"/>
      <c r="W24" s="928"/>
    </row>
    <row r="25" spans="1:23" ht="25.5" customHeight="1" thickBot="1" x14ac:dyDescent="0.25">
      <c r="A25" s="530" t="s">
        <v>773</v>
      </c>
      <c r="B25" s="1134" t="str">
        <f>IF(AND(C19&gt;0, ISBLANK(C24)),"Please enter the number of "&amp;B23&amp;" Scanners","")</f>
        <v/>
      </c>
      <c r="C25" s="1135"/>
      <c r="D25" s="1135"/>
      <c r="E25" s="1134" t="str">
        <f>IF(AND(F19&gt;0, ISBLANK(F24)),"Please enter the number of "&amp;E23&amp;" Scanners","")</f>
        <v/>
      </c>
      <c r="F25" s="1135"/>
      <c r="G25" s="1135"/>
      <c r="H25" s="1134" t="str">
        <f>IF(AND(I19&gt;0, ISBLANK(I24)),"Please enter the number of "&amp;H23&amp;" Scanners","")</f>
        <v/>
      </c>
      <c r="I25" s="1135"/>
      <c r="J25" s="1135"/>
      <c r="K25" s="1134" t="str">
        <f>IF(AND(L19&gt;0, ISBLANK(L24)),"Please enter the number of "&amp;K23&amp;" Scanners","")</f>
        <v/>
      </c>
      <c r="L25" s="1135"/>
      <c r="M25" s="1135"/>
      <c r="N25" s="1134" t="str">
        <f>IF(AND(O19&gt;0, ISBLANK(O24)),"Please enter the number of "&amp;N23&amp;" Scanners","")</f>
        <v/>
      </c>
      <c r="O25" s="1135"/>
      <c r="P25" s="1135"/>
      <c r="Q25" s="1020" t="str">
        <f>IF(AND(R19&gt;0, ISBLANK(R24)),"Please enter the number of "&amp;Q23&amp;" Scanners","")</f>
        <v/>
      </c>
      <c r="R25" s="1041"/>
      <c r="S25" s="1041"/>
      <c r="T25" s="875" t="s">
        <v>752</v>
      </c>
      <c r="U25" s="928"/>
      <c r="V25" s="928"/>
      <c r="W25" s="928"/>
    </row>
    <row r="26" spans="1:23" ht="24.95" customHeight="1" x14ac:dyDescent="0.2">
      <c r="A26" s="1105" t="s">
        <v>109</v>
      </c>
      <c r="B26" s="1106"/>
      <c r="C26" s="1106"/>
      <c r="D26" s="1106"/>
      <c r="E26" s="1106"/>
      <c r="F26" s="1106"/>
      <c r="G26" s="1106"/>
      <c r="H26" s="1106"/>
      <c r="I26" s="1106"/>
      <c r="J26" s="1106"/>
      <c r="K26" s="1106"/>
      <c r="L26" s="1106"/>
      <c r="M26" s="1106"/>
      <c r="N26" s="1068" t="s">
        <v>409</v>
      </c>
      <c r="O26" s="1068"/>
      <c r="P26" s="1068"/>
      <c r="Q26" s="1068"/>
      <c r="R26" s="1068"/>
      <c r="S26" s="1069"/>
      <c r="T26" s="875" t="s">
        <v>752</v>
      </c>
      <c r="U26" s="928"/>
      <c r="V26" s="928"/>
      <c r="W26" s="928"/>
    </row>
    <row r="27" spans="1:23" ht="24.95" customHeight="1" x14ac:dyDescent="0.2">
      <c r="A27" s="1063" t="s">
        <v>665</v>
      </c>
      <c r="B27" s="1038"/>
      <c r="C27" s="1038"/>
      <c r="D27" s="1038"/>
      <c r="E27" s="1038"/>
      <c r="F27" s="1038"/>
      <c r="G27" s="1038"/>
      <c r="H27" s="1038"/>
      <c r="I27" s="1038"/>
      <c r="J27" s="1038"/>
      <c r="K27" s="1038"/>
      <c r="L27" s="1038"/>
      <c r="M27" s="1038"/>
      <c r="N27" s="1038"/>
      <c r="O27" s="1038"/>
      <c r="P27" s="1038"/>
      <c r="Q27" s="1038"/>
      <c r="R27" s="1038"/>
      <c r="S27" s="1039"/>
      <c r="T27" s="875" t="s">
        <v>752</v>
      </c>
      <c r="U27" s="928"/>
      <c r="V27" s="928"/>
      <c r="W27" s="928"/>
    </row>
    <row r="28" spans="1:23" ht="24.95" customHeight="1" x14ac:dyDescent="0.2">
      <c r="A28" s="540" t="s">
        <v>752</v>
      </c>
      <c r="B28" s="904" t="s">
        <v>269</v>
      </c>
      <c r="C28" s="1112"/>
      <c r="D28" s="1113"/>
      <c r="E28" s="1122" t="s">
        <v>270</v>
      </c>
      <c r="F28" s="1123"/>
      <c r="G28" s="1123"/>
      <c r="H28" s="1122" t="s">
        <v>271</v>
      </c>
      <c r="I28" s="1132"/>
      <c r="J28" s="1132"/>
      <c r="K28" s="1122" t="s">
        <v>272</v>
      </c>
      <c r="L28" s="1123"/>
      <c r="M28" s="1123"/>
      <c r="N28" s="1122" t="s">
        <v>273</v>
      </c>
      <c r="O28" s="1123"/>
      <c r="P28" s="1123"/>
      <c r="Q28" s="1122" t="s">
        <v>274</v>
      </c>
      <c r="R28" s="1123"/>
      <c r="S28" s="1124"/>
      <c r="T28" s="875" t="s">
        <v>752</v>
      </c>
      <c r="U28" s="928"/>
      <c r="V28" s="928"/>
      <c r="W28" s="928"/>
    </row>
    <row r="29" spans="1:23" ht="24.95" customHeight="1" x14ac:dyDescent="0.2">
      <c r="A29" s="1042" t="s">
        <v>666</v>
      </c>
      <c r="B29" s="1044" t="s">
        <v>265</v>
      </c>
      <c r="C29" s="1045"/>
      <c r="D29" s="244" t="s">
        <v>266</v>
      </c>
      <c r="E29" s="1044" t="s">
        <v>265</v>
      </c>
      <c r="F29" s="1121"/>
      <c r="G29" s="244" t="s">
        <v>266</v>
      </c>
      <c r="H29" s="1031" t="s">
        <v>265</v>
      </c>
      <c r="I29" s="1032"/>
      <c r="J29" s="244" t="s">
        <v>266</v>
      </c>
      <c r="K29" s="1031" t="s">
        <v>265</v>
      </c>
      <c r="L29" s="1032"/>
      <c r="M29" s="244" t="s">
        <v>266</v>
      </c>
      <c r="N29" s="1031" t="s">
        <v>265</v>
      </c>
      <c r="O29" s="1032"/>
      <c r="P29" s="244" t="s">
        <v>266</v>
      </c>
      <c r="Q29" s="1031" t="s">
        <v>265</v>
      </c>
      <c r="R29" s="1032"/>
      <c r="S29" s="244" t="s">
        <v>266</v>
      </c>
      <c r="T29" s="875" t="s">
        <v>752</v>
      </c>
      <c r="U29" s="928"/>
      <c r="V29" s="928"/>
      <c r="W29" s="928"/>
    </row>
    <row r="30" spans="1:23" ht="24.95" customHeight="1" x14ac:dyDescent="0.2">
      <c r="A30" s="1049"/>
      <c r="B30" s="1051"/>
      <c r="C30" s="1014"/>
      <c r="D30" s="245"/>
      <c r="E30" s="1119"/>
      <c r="F30" s="1120"/>
      <c r="G30" s="245"/>
      <c r="H30" s="1119"/>
      <c r="I30" s="1120"/>
      <c r="J30" s="245"/>
      <c r="K30" s="1119"/>
      <c r="L30" s="1120"/>
      <c r="M30" s="245"/>
      <c r="N30" s="1119"/>
      <c r="O30" s="1120"/>
      <c r="P30" s="245"/>
      <c r="Q30" s="1119"/>
      <c r="R30" s="1120"/>
      <c r="S30" s="245"/>
      <c r="T30" s="875" t="s">
        <v>752</v>
      </c>
      <c r="U30" s="928"/>
      <c r="V30" s="928"/>
      <c r="W30" s="928"/>
    </row>
    <row r="31" spans="1:23" s="143" customFormat="1" ht="27.75" customHeight="1" x14ac:dyDescent="0.2">
      <c r="A31" s="541" t="s">
        <v>773</v>
      </c>
      <c r="B31" s="1116" t="str">
        <f>(IF(ISBLANK(D30),"","Enter Lease Details"))</f>
        <v/>
      </c>
      <c r="C31" s="1131"/>
      <c r="D31" s="1131"/>
      <c r="E31" s="1116" t="str">
        <f>(IF(ISBLANK(G30),"","Enter Lease Details"))</f>
        <v/>
      </c>
      <c r="F31" s="1117"/>
      <c r="G31" s="1117"/>
      <c r="H31" s="1116" t="str">
        <f>(IF(ISBLANK(J30),"","Enter Lease Details"))</f>
        <v/>
      </c>
      <c r="I31" s="1117"/>
      <c r="J31" s="1117"/>
      <c r="K31" s="1116" t="str">
        <f>(IF(ISBLANK(M30),"","Enter Lease Details"))</f>
        <v/>
      </c>
      <c r="L31" s="1117"/>
      <c r="M31" s="1117"/>
      <c r="N31" s="1116" t="str">
        <f>(IF(ISBLANK(P30),"","Enter Lease Details"))</f>
        <v/>
      </c>
      <c r="O31" s="1117"/>
      <c r="P31" s="1117"/>
      <c r="Q31" s="1116" t="str">
        <f>(IF(ISBLANK(S30),"","Enter Lease Details"))</f>
        <v/>
      </c>
      <c r="R31" s="1117"/>
      <c r="S31" s="1118"/>
      <c r="T31" s="875" t="s">
        <v>752</v>
      </c>
      <c r="U31" s="928"/>
      <c r="V31" s="928"/>
      <c r="W31" s="928"/>
    </row>
    <row r="32" spans="1:23" s="143" customFormat="1" ht="27.75" customHeight="1" x14ac:dyDescent="0.2">
      <c r="A32" s="542" t="s">
        <v>773</v>
      </c>
      <c r="B32" s="1114" t="str">
        <f>(IF(AND(ISBLANK(D30),(C19&gt;0)),"Enter Any Mobile Locations",""))</f>
        <v/>
      </c>
      <c r="C32" s="1115"/>
      <c r="D32" s="1115"/>
      <c r="E32" s="1114" t="str">
        <f>(IF(AND(ISBLANK(G30),(F19&gt;0)),"Enter Any Mobile Locations",""))</f>
        <v/>
      </c>
      <c r="F32" s="1115"/>
      <c r="G32" s="1115"/>
      <c r="H32" s="1114" t="str">
        <f>(IF(AND(ISBLANK(J30),(I19&gt;0)),"Enter Any Mobile Locations",""))</f>
        <v/>
      </c>
      <c r="I32" s="1115"/>
      <c r="J32" s="1115"/>
      <c r="K32" s="1114" t="str">
        <f>(IF(AND(ISBLANK(M30),(L19&gt;0)),"Enter Any Mobile Locations",""))</f>
        <v/>
      </c>
      <c r="L32" s="1115"/>
      <c r="M32" s="1115"/>
      <c r="N32" s="1114" t="str">
        <f>(IF(AND(ISBLANK(P30),(O19&gt;0)),"Enter Any Mobile Locations",""))</f>
        <v/>
      </c>
      <c r="O32" s="1115"/>
      <c r="P32" s="1115"/>
      <c r="Q32" s="1114" t="str">
        <f>(IF(AND(ISBLANK(S30),(R19&gt;0)),"Enter Any Mobile Locations",""))</f>
        <v/>
      </c>
      <c r="R32" s="1115"/>
      <c r="S32" s="1127"/>
      <c r="T32" s="875" t="s">
        <v>752</v>
      </c>
      <c r="U32" s="928"/>
      <c r="V32" s="928"/>
      <c r="W32" s="928"/>
    </row>
    <row r="33" spans="1:23" ht="24.95" customHeight="1" x14ac:dyDescent="0.2">
      <c r="A33" s="1042" t="s">
        <v>667</v>
      </c>
      <c r="B33" s="1125" t="s">
        <v>265</v>
      </c>
      <c r="C33" s="1130"/>
      <c r="D33" s="244" t="s">
        <v>266</v>
      </c>
      <c r="E33" s="1125" t="s">
        <v>265</v>
      </c>
      <c r="F33" s="1126"/>
      <c r="G33" s="244" t="s">
        <v>266</v>
      </c>
      <c r="H33" s="1125" t="s">
        <v>265</v>
      </c>
      <c r="I33" s="1126"/>
      <c r="J33" s="244" t="s">
        <v>266</v>
      </c>
      <c r="K33" s="1125" t="s">
        <v>265</v>
      </c>
      <c r="L33" s="1126"/>
      <c r="M33" s="244" t="s">
        <v>266</v>
      </c>
      <c r="N33" s="1015" t="s">
        <v>265</v>
      </c>
      <c r="O33" s="1016"/>
      <c r="P33" s="243" t="s">
        <v>266</v>
      </c>
      <c r="Q33" s="1015" t="s">
        <v>265</v>
      </c>
      <c r="R33" s="1016"/>
      <c r="S33" s="259" t="s">
        <v>266</v>
      </c>
      <c r="T33" s="875" t="s">
        <v>752</v>
      </c>
      <c r="U33" s="928"/>
      <c r="V33" s="928"/>
      <c r="W33" s="928"/>
    </row>
    <row r="34" spans="1:23" ht="24.95" customHeight="1" thickBot="1" x14ac:dyDescent="0.25">
      <c r="A34" s="1043"/>
      <c r="B34" s="1046"/>
      <c r="C34" s="1047"/>
      <c r="D34" s="249"/>
      <c r="E34" s="1017"/>
      <c r="F34" s="1018"/>
      <c r="G34" s="249"/>
      <c r="H34" s="1017"/>
      <c r="I34" s="1018"/>
      <c r="J34" s="249"/>
      <c r="K34" s="1017"/>
      <c r="L34" s="1018"/>
      <c r="M34" s="249"/>
      <c r="N34" s="1017"/>
      <c r="O34" s="1018"/>
      <c r="P34" s="249"/>
      <c r="Q34" s="1017"/>
      <c r="R34" s="1018"/>
      <c r="S34" s="249"/>
      <c r="T34" s="875" t="s">
        <v>752</v>
      </c>
      <c r="U34" s="928"/>
      <c r="V34" s="928"/>
      <c r="W34" s="928"/>
    </row>
    <row r="35" spans="1:23" ht="21" customHeight="1" x14ac:dyDescent="0.2">
      <c r="A35" s="521" t="s">
        <v>773</v>
      </c>
      <c r="B35" s="1035" t="str">
        <f>IF(ISBLANK(B34),"","Enter Lease Details")</f>
        <v/>
      </c>
      <c r="C35" s="1040"/>
      <c r="D35" s="1040"/>
      <c r="E35" s="1102" t="str">
        <f>(IF(ISBLANK(E34),"","Enter Lease Details"))</f>
        <v/>
      </c>
      <c r="F35" s="1103"/>
      <c r="G35" s="1103"/>
      <c r="H35" s="1102" t="str">
        <f>(IF(ISBLANK(H34),"","Enter Lease Details"))</f>
        <v/>
      </c>
      <c r="I35" s="1103"/>
      <c r="J35" s="1103"/>
      <c r="K35" s="1102" t="str">
        <f>(IF(ISBLANK(K34),"","Enter Lease Details"))</f>
        <v/>
      </c>
      <c r="L35" s="1103"/>
      <c r="M35" s="1103"/>
      <c r="N35" s="1102" t="str">
        <f>(IF(ISBLANK(N34),"","Enter Lease Details"))</f>
        <v/>
      </c>
      <c r="O35" s="1103"/>
      <c r="P35" s="1103"/>
      <c r="Q35" s="1102" t="str">
        <f>(IF(ISBLANK(Q34),"","Enter Lease Details"))</f>
        <v/>
      </c>
      <c r="R35" s="1103"/>
      <c r="S35" s="1103"/>
      <c r="T35" s="690" t="s">
        <v>752</v>
      </c>
      <c r="U35" s="1090"/>
      <c r="V35" s="1090"/>
      <c r="W35" s="1090"/>
    </row>
    <row r="36" spans="1:23" ht="6" customHeight="1" x14ac:dyDescent="0.2">
      <c r="A36" s="1090" t="s">
        <v>757</v>
      </c>
      <c r="B36" s="1090"/>
      <c r="C36" s="1090"/>
      <c r="D36" s="1090"/>
      <c r="E36" s="1090"/>
      <c r="F36" s="1090"/>
      <c r="G36" s="1090"/>
      <c r="H36" s="1090"/>
      <c r="I36" s="1090"/>
      <c r="J36" s="1090"/>
      <c r="K36" s="1090"/>
      <c r="L36" s="1090"/>
      <c r="M36" s="1090"/>
      <c r="N36" s="1090"/>
      <c r="O36" s="1090"/>
      <c r="P36" s="1090"/>
      <c r="Q36" s="1090"/>
      <c r="R36" s="1090"/>
      <c r="S36" s="1090"/>
      <c r="T36" s="1090"/>
      <c r="U36" s="1090"/>
      <c r="V36" s="1090"/>
      <c r="W36" s="1090"/>
    </row>
  </sheetData>
  <sheetProtection sheet="1" objects="1" scenarios="1"/>
  <mergeCells count="197">
    <mergeCell ref="T23:W23"/>
    <mergeCell ref="T24:W24"/>
    <mergeCell ref="T25:W25"/>
    <mergeCell ref="T26:W26"/>
    <mergeCell ref="T27:W27"/>
    <mergeCell ref="T28:W28"/>
    <mergeCell ref="T29:W29"/>
    <mergeCell ref="T30:W30"/>
    <mergeCell ref="T31:W31"/>
    <mergeCell ref="T11:W11"/>
    <mergeCell ref="T12:W12"/>
    <mergeCell ref="T13:W13"/>
    <mergeCell ref="T14:W14"/>
    <mergeCell ref="T19:W19"/>
    <mergeCell ref="T20:W20"/>
    <mergeCell ref="B20:S20"/>
    <mergeCell ref="T21:W21"/>
    <mergeCell ref="T22:W22"/>
    <mergeCell ref="C11:D11"/>
    <mergeCell ref="F11:G11"/>
    <mergeCell ref="I11:J11"/>
    <mergeCell ref="D16:D18"/>
    <mergeCell ref="G16:G18"/>
    <mergeCell ref="J16:J18"/>
    <mergeCell ref="M16:M18"/>
    <mergeCell ref="F13:G13"/>
    <mergeCell ref="I13:J13"/>
    <mergeCell ref="L13:M13"/>
    <mergeCell ref="C15:D15"/>
    <mergeCell ref="F15:G15"/>
    <mergeCell ref="I15:J15"/>
    <mergeCell ref="L15:M15"/>
    <mergeCell ref="O15:P15"/>
    <mergeCell ref="T2:W2"/>
    <mergeCell ref="T3:W3"/>
    <mergeCell ref="T4:W4"/>
    <mergeCell ref="T5:W5"/>
    <mergeCell ref="T6:W6"/>
    <mergeCell ref="T7:W7"/>
    <mergeCell ref="T8:W8"/>
    <mergeCell ref="T9:W9"/>
    <mergeCell ref="T10:W10"/>
    <mergeCell ref="R7:S7"/>
    <mergeCell ref="C8:D8"/>
    <mergeCell ref="N25:P25"/>
    <mergeCell ref="E25:G25"/>
    <mergeCell ref="H25:J25"/>
    <mergeCell ref="C6:D6"/>
    <mergeCell ref="F6:G6"/>
    <mergeCell ref="I6:J6"/>
    <mergeCell ref="K25:M25"/>
    <mergeCell ref="L11:M11"/>
    <mergeCell ref="A21:M21"/>
    <mergeCell ref="O8:P8"/>
    <mergeCell ref="L7:M7"/>
    <mergeCell ref="L8:M8"/>
    <mergeCell ref="C7:D7"/>
    <mergeCell ref="F7:G7"/>
    <mergeCell ref="I7:J7"/>
    <mergeCell ref="O7:P7"/>
    <mergeCell ref="R9:S9"/>
    <mergeCell ref="O10:P10"/>
    <mergeCell ref="R10:S10"/>
    <mergeCell ref="O9:P9"/>
    <mergeCell ref="R13:S13"/>
    <mergeCell ref="F8:G8"/>
    <mergeCell ref="H4:J4"/>
    <mergeCell ref="K4:M4"/>
    <mergeCell ref="N2:S2"/>
    <mergeCell ref="O5:P5"/>
    <mergeCell ref="R5:S5"/>
    <mergeCell ref="R6:S6"/>
    <mergeCell ref="A2:H2"/>
    <mergeCell ref="B4:D4"/>
    <mergeCell ref="E4:G4"/>
    <mergeCell ref="C5:D5"/>
    <mergeCell ref="F5:G5"/>
    <mergeCell ref="I5:J5"/>
    <mergeCell ref="N4:P4"/>
    <mergeCell ref="Q4:S4"/>
    <mergeCell ref="O6:P6"/>
    <mergeCell ref="L6:M6"/>
    <mergeCell ref="L5:M5"/>
    <mergeCell ref="I2:K2"/>
    <mergeCell ref="L2:M2"/>
    <mergeCell ref="R8:S8"/>
    <mergeCell ref="I12:J12"/>
    <mergeCell ref="L12:M12"/>
    <mergeCell ref="R15:S15"/>
    <mergeCell ref="C12:D12"/>
    <mergeCell ref="F12:G12"/>
    <mergeCell ref="O12:P12"/>
    <mergeCell ref="R12:S12"/>
    <mergeCell ref="O11:P11"/>
    <mergeCell ref="R11:S11"/>
    <mergeCell ref="C10:D10"/>
    <mergeCell ref="F10:G10"/>
    <mergeCell ref="I10:J10"/>
    <mergeCell ref="L10:M10"/>
    <mergeCell ref="I8:J8"/>
    <mergeCell ref="C9:D9"/>
    <mergeCell ref="F9:G9"/>
    <mergeCell ref="I9:J9"/>
    <mergeCell ref="L9:M9"/>
    <mergeCell ref="O13:P13"/>
    <mergeCell ref="C14:D14"/>
    <mergeCell ref="F14:G14"/>
    <mergeCell ref="I14:J14"/>
    <mergeCell ref="C13:D13"/>
    <mergeCell ref="A22:S22"/>
    <mergeCell ref="B23:D23"/>
    <mergeCell ref="Q25:S25"/>
    <mergeCell ref="B25:D25"/>
    <mergeCell ref="O24:P24"/>
    <mergeCell ref="A1:S1"/>
    <mergeCell ref="N35:P35"/>
    <mergeCell ref="Q35:S35"/>
    <mergeCell ref="E35:G35"/>
    <mergeCell ref="H35:J35"/>
    <mergeCell ref="K35:M35"/>
    <mergeCell ref="E33:F33"/>
    <mergeCell ref="L24:M24"/>
    <mergeCell ref="A3:S3"/>
    <mergeCell ref="C24:D24"/>
    <mergeCell ref="K32:M32"/>
    <mergeCell ref="O14:P14"/>
    <mergeCell ref="R14:S14"/>
    <mergeCell ref="P16:P18"/>
    <mergeCell ref="S16:S18"/>
    <mergeCell ref="R19:S19"/>
    <mergeCell ref="L14:M14"/>
    <mergeCell ref="O19:P19"/>
    <mergeCell ref="C19:D19"/>
    <mergeCell ref="H23:J23"/>
    <mergeCell ref="K23:M23"/>
    <mergeCell ref="N23:P23"/>
    <mergeCell ref="A26:M26"/>
    <mergeCell ref="N26:S26"/>
    <mergeCell ref="A33:A34"/>
    <mergeCell ref="B33:C33"/>
    <mergeCell ref="B34:C34"/>
    <mergeCell ref="B31:D31"/>
    <mergeCell ref="A27:S27"/>
    <mergeCell ref="E28:G28"/>
    <mergeCell ref="H28:J28"/>
    <mergeCell ref="Q23:S23"/>
    <mergeCell ref="E23:G23"/>
    <mergeCell ref="R24:S24"/>
    <mergeCell ref="K30:L30"/>
    <mergeCell ref="N30:O30"/>
    <mergeCell ref="Q30:R30"/>
    <mergeCell ref="T15:W18"/>
    <mergeCell ref="E31:G31"/>
    <mergeCell ref="H31:J31"/>
    <mergeCell ref="K31:M31"/>
    <mergeCell ref="N31:P31"/>
    <mergeCell ref="K28:M28"/>
    <mergeCell ref="I24:J24"/>
    <mergeCell ref="Q33:R33"/>
    <mergeCell ref="E34:F34"/>
    <mergeCell ref="H34:I34"/>
    <mergeCell ref="K34:L34"/>
    <mergeCell ref="N34:O34"/>
    <mergeCell ref="Q34:R34"/>
    <mergeCell ref="N32:P32"/>
    <mergeCell ref="H33:I33"/>
    <mergeCell ref="K33:L33"/>
    <mergeCell ref="H32:J32"/>
    <mergeCell ref="F24:G24"/>
    <mergeCell ref="N28:P28"/>
    <mergeCell ref="Q32:S32"/>
    <mergeCell ref="F19:G19"/>
    <mergeCell ref="I19:J19"/>
    <mergeCell ref="L19:M19"/>
    <mergeCell ref="N21:S21"/>
    <mergeCell ref="A36:W36"/>
    <mergeCell ref="B35:D35"/>
    <mergeCell ref="B28:D28"/>
    <mergeCell ref="B32:D32"/>
    <mergeCell ref="E32:G32"/>
    <mergeCell ref="B29:C29"/>
    <mergeCell ref="B30:C30"/>
    <mergeCell ref="Q31:S31"/>
    <mergeCell ref="Q29:R29"/>
    <mergeCell ref="H30:I30"/>
    <mergeCell ref="N33:O33"/>
    <mergeCell ref="N29:O29"/>
    <mergeCell ref="E29:F29"/>
    <mergeCell ref="E30:F30"/>
    <mergeCell ref="H29:I29"/>
    <mergeCell ref="K29:L29"/>
    <mergeCell ref="Q28:S28"/>
    <mergeCell ref="A29:A30"/>
    <mergeCell ref="T32:W32"/>
    <mergeCell ref="T33:W33"/>
    <mergeCell ref="T34:W34"/>
    <mergeCell ref="T35:W35"/>
  </mergeCells>
  <phoneticPr fontId="6" type="noConversion"/>
  <conditionalFormatting sqref="B34:D34">
    <cfRule type="expression" dxfId="64" priority="1" stopIfTrue="1">
      <formula>IF(ISBLANK($D$30),FALSE,TRUE)</formula>
    </cfRule>
  </conditionalFormatting>
  <conditionalFormatting sqref="E34:G34">
    <cfRule type="expression" dxfId="63" priority="2" stopIfTrue="1">
      <formula>IF(ISBLANK($G$30),FALSE,TRUE)</formula>
    </cfRule>
  </conditionalFormatting>
  <conditionalFormatting sqref="H34:J34">
    <cfRule type="expression" dxfId="62" priority="3" stopIfTrue="1">
      <formula>IF(ISBLANK($J$30),FALSE,TRUE)</formula>
    </cfRule>
  </conditionalFormatting>
  <conditionalFormatting sqref="K34:M34">
    <cfRule type="expression" dxfId="61" priority="4" stopIfTrue="1">
      <formula>IF(ISBLANK($M$30),FALSE,TRUE)</formula>
    </cfRule>
  </conditionalFormatting>
  <conditionalFormatting sqref="N34:P34">
    <cfRule type="expression" dxfId="60" priority="5" stopIfTrue="1">
      <formula>IF(ISBLANK($P$30),FALSE,TRUE)</formula>
    </cfRule>
  </conditionalFormatting>
  <conditionalFormatting sqref="Q34:S34">
    <cfRule type="expression" dxfId="59" priority="6" stopIfTrue="1">
      <formula>IF(ISBLANK($S$30),FALSE,TRUE)</formula>
    </cfRule>
  </conditionalFormatting>
  <hyperlinks>
    <hyperlink ref="A2:C2" location="def_mobile" display="Section 1: Utilization - Mobile Equipment" xr:uid="{00000000-0004-0000-0A00-000000000000}"/>
    <hyperlink ref="B35" location="lease_detail" display="lease_detail" xr:uid="{00000000-0004-0000-0A00-000001000000}"/>
    <hyperlink ref="E35" location="lease_detail" display="lease_detail" xr:uid="{00000000-0004-0000-0A00-000002000000}"/>
    <hyperlink ref="H35" location="lease_detail" display="lease_detail" xr:uid="{00000000-0004-0000-0A00-000003000000}"/>
    <hyperlink ref="K35" location="lease_detail" display="lease_detail" xr:uid="{00000000-0004-0000-0A00-000004000000}"/>
    <hyperlink ref="N35" location="lease_detail" display="lease_detail" xr:uid="{00000000-0004-0000-0A00-000005000000}"/>
    <hyperlink ref="Q35" location="lease_detail" display="lease_detail" xr:uid="{00000000-0004-0000-0A00-000006000000}"/>
    <hyperlink ref="E31" location="lease_detail" display="lease_detail" xr:uid="{00000000-0004-0000-0A00-000007000000}"/>
    <hyperlink ref="B31" location="lease_detail" display="lease_detail" xr:uid="{00000000-0004-0000-0A00-000008000000}"/>
    <hyperlink ref="H31" location="lease_detail" display="lease_detail" xr:uid="{00000000-0004-0000-0A00-000009000000}"/>
    <hyperlink ref="K31" location="lease_detail" display="lease_detail" xr:uid="{00000000-0004-0000-0A00-00000A000000}"/>
    <hyperlink ref="N31" location="lease_detail" display="lease_detail" xr:uid="{00000000-0004-0000-0A00-00000B000000}"/>
    <hyperlink ref="Q31" location="lease_detail" display="lease_detail" xr:uid="{00000000-0004-0000-0A00-00000C000000}"/>
    <hyperlink ref="B32" location="lease_detail" display="lease_detail" xr:uid="{00000000-0004-0000-0A00-00000D000000}"/>
    <hyperlink ref="B32:D32" location="mobile_locations" display="mobile_locations" xr:uid="{00000000-0004-0000-0A00-00000E000000}"/>
    <hyperlink ref="E32" location="lease_detail" display="lease_detail" xr:uid="{00000000-0004-0000-0A00-00000F000000}"/>
    <hyperlink ref="E32:G32" location="mobile_locations" display="mobile_locations" xr:uid="{00000000-0004-0000-0A00-000010000000}"/>
    <hyperlink ref="H32" location="lease_detail" display="lease_detail" xr:uid="{00000000-0004-0000-0A00-000011000000}"/>
    <hyperlink ref="H32:J32" location="mobile_locations" display="mobile_locations" xr:uid="{00000000-0004-0000-0A00-000012000000}"/>
    <hyperlink ref="K32" location="lease_detail" display="lease_detail" xr:uid="{00000000-0004-0000-0A00-000013000000}"/>
    <hyperlink ref="K32:M32" location="mobile_locations" display="mobile_locations" xr:uid="{00000000-0004-0000-0A00-000014000000}"/>
    <hyperlink ref="N32" location="lease_detail" display="lease_detail" xr:uid="{00000000-0004-0000-0A00-000015000000}"/>
    <hyperlink ref="N32:P32" location="mobile_locations" display="mobile_locations" xr:uid="{00000000-0004-0000-0A00-000016000000}"/>
    <hyperlink ref="Q32" location="lease_detail" display="lease_detail" xr:uid="{00000000-0004-0000-0A00-000017000000}"/>
    <hyperlink ref="Q32:S32" location="mobile_locations" display="mobile_locations" xr:uid="{00000000-0004-0000-0A00-000018000000}"/>
    <hyperlink ref="N2:S2" location="text_07" display="Document Explanations if needed" xr:uid="{00000000-0004-0000-0A00-000019000000}"/>
    <hyperlink ref="N21:S21" location="text_08" display="Document Explanations if needed" xr:uid="{00000000-0004-0000-0A00-00001A000000}"/>
    <hyperlink ref="N26:S26" location="text_09" display="Document Explanations if needed" xr:uid="{00000000-0004-0000-0A00-00001B000000}"/>
  </hyperlinks>
  <printOptions horizontalCentered="1"/>
  <pageMargins left="0.75" right="0.75" top="1" bottom="1" header="0.5" footer="0.5"/>
  <pageSetup scale="51" orientation="portrait" r:id="rId1"/>
  <headerFooter alignWithMargins="0">
    <oddFooter>&amp;L&amp;"Calibri,Regular"Diagnostic Imaging Facility Utilization Report
Fiscal Year 2024
&amp;C&amp;"Calibri,Regular"&amp;P of &amp;N&amp;R&amp;"Calibri,Regular"Minnesota Department of Health
Phone 651-201-3572
health.hccis@state.mn.us</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AP50"/>
  <sheetViews>
    <sheetView zoomScaleNormal="100" workbookViewId="0">
      <selection activeCell="K5" sqref="K5"/>
    </sheetView>
  </sheetViews>
  <sheetFormatPr defaultColWidth="0" defaultRowHeight="12.75" zeroHeight="1" x14ac:dyDescent="0.2"/>
  <cols>
    <col min="1" max="1" width="3.7109375" style="122" customWidth="1"/>
    <col min="2" max="3" width="4.42578125" style="122" customWidth="1"/>
    <col min="4" max="4" width="3.7109375" style="122" customWidth="1"/>
    <col min="5" max="5" width="3.28515625" style="122" bestFit="1" customWidth="1"/>
    <col min="6" max="6" width="6.140625" style="122" customWidth="1"/>
    <col min="7" max="7" width="3.28515625" style="122" bestFit="1" customWidth="1"/>
    <col min="8" max="8" width="5.42578125" style="122" customWidth="1"/>
    <col min="9" max="9" width="3.28515625" style="122" bestFit="1" customWidth="1"/>
    <col min="10" max="10" width="11.85546875" style="122" customWidth="1"/>
    <col min="11" max="13" width="12.85546875" style="122" customWidth="1"/>
    <col min="14" max="14" width="15.140625" style="122" customWidth="1"/>
    <col min="15" max="15" width="11.85546875" style="122" customWidth="1"/>
    <col min="16" max="16" width="15.140625" style="122" customWidth="1"/>
    <col min="17" max="17" width="15.85546875" style="122" customWidth="1"/>
    <col min="18" max="18" width="15.140625" style="122" customWidth="1"/>
    <col min="19" max="19" width="9.140625" style="122" customWidth="1"/>
    <col min="20" max="20" width="5.7109375" style="122" bestFit="1" customWidth="1"/>
    <col min="21" max="21" width="6.28515625" style="122" bestFit="1" customWidth="1"/>
    <col min="22" max="23" width="12.7109375" style="122" bestFit="1" customWidth="1"/>
    <col min="24" max="24" width="10" style="122" hidden="1" customWidth="1"/>
    <col min="25" max="42" width="0" style="122" hidden="1" customWidth="1"/>
    <col min="43" max="16384" width="9.140625" style="122" hidden="1"/>
  </cols>
  <sheetData>
    <row r="1" spans="1:42" ht="24.95" customHeight="1" thickBot="1" x14ac:dyDescent="0.25">
      <c r="A1" s="1097" t="e">
        <f>CONCATENATE('Demog Contact'!D$5," ",'Demog Contact'!D$6)</f>
        <v>#N/A</v>
      </c>
      <c r="B1" s="1097"/>
      <c r="C1" s="1097"/>
      <c r="D1" s="1097"/>
      <c r="E1" s="1139"/>
      <c r="F1" s="1139"/>
      <c r="G1" s="1139"/>
      <c r="H1" s="1139"/>
      <c r="I1" s="1139"/>
      <c r="J1" s="1139"/>
      <c r="K1" s="1139"/>
      <c r="L1" s="1139"/>
      <c r="M1" s="1139"/>
      <c r="N1" s="1139"/>
      <c r="O1" s="1139"/>
      <c r="P1" s="1139"/>
      <c r="Q1" s="1139"/>
      <c r="R1" s="1139"/>
      <c r="S1" s="1139"/>
      <c r="T1" s="1139"/>
      <c r="U1" s="1139"/>
      <c r="V1" s="1139"/>
      <c r="W1" s="1139"/>
    </row>
    <row r="2" spans="1:42" s="256" customFormat="1" ht="24.95" customHeight="1" x14ac:dyDescent="0.2">
      <c r="A2" s="1104" t="s">
        <v>110</v>
      </c>
      <c r="B2" s="1082"/>
      <c r="C2" s="1082"/>
      <c r="D2" s="1082"/>
      <c r="E2" s="1082"/>
      <c r="F2" s="1082"/>
      <c r="G2" s="1082"/>
      <c r="H2" s="1082"/>
      <c r="I2" s="1082"/>
      <c r="J2" s="1082"/>
      <c r="K2" s="1082"/>
      <c r="L2" s="1082"/>
      <c r="M2" s="1082"/>
      <c r="N2" s="1091" t="str">
        <f>CONCATENATE("Fiscal Year ",'Demog Contact'!L1)</f>
        <v>Fiscal Year 2024</v>
      </c>
      <c r="O2" s="1091"/>
      <c r="P2" s="1091"/>
      <c r="Q2" s="1064" t="s">
        <v>409</v>
      </c>
      <c r="R2" s="1064"/>
      <c r="S2" s="1064"/>
      <c r="T2" s="1064"/>
      <c r="U2" s="1064"/>
      <c r="V2" s="1064"/>
      <c r="W2" s="1065"/>
      <c r="X2" s="543"/>
    </row>
    <row r="3" spans="1:42" ht="24.95" customHeight="1" x14ac:dyDescent="0.2">
      <c r="A3" s="1140" t="s">
        <v>672</v>
      </c>
      <c r="B3" s="1141"/>
      <c r="C3" s="1141"/>
      <c r="D3" s="1141"/>
      <c r="E3" s="1142"/>
      <c r="F3" s="1142"/>
      <c r="G3" s="1142"/>
      <c r="H3" s="1142"/>
      <c r="I3" s="1142"/>
      <c r="J3" s="1142"/>
      <c r="K3" s="1142"/>
      <c r="L3" s="1142"/>
      <c r="M3" s="1142"/>
      <c r="N3" s="1142"/>
      <c r="O3" s="1142"/>
      <c r="P3" s="1142"/>
      <c r="Q3" s="1142"/>
      <c r="R3" s="1142"/>
      <c r="S3" s="1142"/>
      <c r="T3" s="1142"/>
      <c r="U3" s="1142"/>
      <c r="V3" s="1142"/>
      <c r="W3" s="1143"/>
      <c r="X3" s="544"/>
    </row>
    <row r="4" spans="1:42" ht="30" customHeight="1" x14ac:dyDescent="0.2">
      <c r="A4" s="1144" t="s">
        <v>99</v>
      </c>
      <c r="B4" s="1084"/>
      <c r="C4" s="1145"/>
      <c r="D4" s="1146" t="s">
        <v>100</v>
      </c>
      <c r="E4" s="1147"/>
      <c r="F4" s="1147"/>
      <c r="G4" s="1147"/>
      <c r="H4" s="1147"/>
      <c r="I4" s="1147"/>
      <c r="J4" s="1148" t="s">
        <v>116</v>
      </c>
      <c r="K4" s="1148"/>
      <c r="L4" s="1149" t="s">
        <v>752</v>
      </c>
      <c r="M4" s="1150"/>
      <c r="N4" s="1150"/>
      <c r="O4" s="1150"/>
      <c r="P4" s="1150"/>
      <c r="Q4" s="1150"/>
      <c r="R4" s="1150"/>
      <c r="S4" s="1150"/>
      <c r="T4" s="1150"/>
      <c r="U4" s="1150"/>
      <c r="V4" s="1150"/>
      <c r="W4" s="1151"/>
      <c r="X4" s="544"/>
    </row>
    <row r="5" spans="1:42" ht="65.25" customHeight="1" thickBot="1" x14ac:dyDescent="0.25">
      <c r="A5" s="265" t="s">
        <v>92</v>
      </c>
      <c r="B5" s="266" t="s">
        <v>93</v>
      </c>
      <c r="C5" s="267" t="s">
        <v>94</v>
      </c>
      <c r="D5" s="268" t="s">
        <v>269</v>
      </c>
      <c r="E5" s="269" t="s">
        <v>270</v>
      </c>
      <c r="F5" s="270" t="s">
        <v>271</v>
      </c>
      <c r="G5" s="269" t="s">
        <v>272</v>
      </c>
      <c r="H5" s="270" t="s">
        <v>273</v>
      </c>
      <c r="I5" s="271" t="s">
        <v>274</v>
      </c>
      <c r="J5" s="272" t="s">
        <v>673</v>
      </c>
      <c r="K5" s="272" t="s">
        <v>674</v>
      </c>
      <c r="L5" s="273" t="s">
        <v>98</v>
      </c>
      <c r="M5" s="274" t="s">
        <v>237</v>
      </c>
      <c r="N5" s="274" t="s">
        <v>268</v>
      </c>
      <c r="O5" s="275" t="s">
        <v>87</v>
      </c>
      <c r="P5" s="274" t="s">
        <v>51</v>
      </c>
      <c r="Q5" s="274" t="s">
        <v>52</v>
      </c>
      <c r="R5" s="274" t="s">
        <v>127</v>
      </c>
      <c r="S5" s="274" t="s">
        <v>128</v>
      </c>
      <c r="T5" s="274" t="s">
        <v>136</v>
      </c>
      <c r="U5" s="274" t="s">
        <v>42</v>
      </c>
      <c r="V5" s="276" t="s">
        <v>267</v>
      </c>
      <c r="W5" s="277" t="s">
        <v>45</v>
      </c>
      <c r="X5" s="544"/>
      <c r="AF5" s="278"/>
      <c r="AH5" s="279"/>
      <c r="AI5" s="279"/>
      <c r="AK5" s="279"/>
      <c r="AL5" s="279"/>
      <c r="AN5" s="279"/>
      <c r="AO5" s="279"/>
      <c r="AP5" s="280"/>
    </row>
    <row r="6" spans="1:42" x14ac:dyDescent="0.2">
      <c r="A6" s="497"/>
      <c r="B6" s="498"/>
      <c r="C6" s="498"/>
      <c r="D6" s="498"/>
      <c r="E6" s="498"/>
      <c r="F6" s="498"/>
      <c r="G6" s="498"/>
      <c r="H6" s="498"/>
      <c r="I6" s="498"/>
      <c r="J6" s="505"/>
      <c r="K6" s="505"/>
      <c r="L6" s="506"/>
      <c r="M6" s="505"/>
      <c r="N6" s="486" t="str">
        <f t="shared" ref="N6:N48" si="0">IF(AND(ISBLANK($J6),ISBLANK($K6)),"",VLOOKUP(MAX($J6,$K6),lease_id_list,2,FALSE))</f>
        <v/>
      </c>
      <c r="O6" s="503" t="str">
        <f t="shared" ref="O6:O48" si="1">IF(AND(ISBLANK($J6),ISBLANK($K6)),"",VLOOKUP(MAX($J6,$K6),lease_id_list,7,FALSE))</f>
        <v/>
      </c>
      <c r="P6" s="486"/>
      <c r="Q6" s="486"/>
      <c r="R6" s="486" t="str">
        <f t="shared" ref="R6:R48" si="2">IF(AND(ISBLANK($J6),ISBLANK($K6)),"",VLOOKUP(MAX($J6,$K6),lease_id_list,4,FALSE))</f>
        <v/>
      </c>
      <c r="S6" s="486" t="str">
        <f t="shared" ref="S6:S48" si="3">IF(AND(ISBLANK($J6),ISBLANK($K6)),"",VLOOKUP(MAX($J6,$K6),lease_id_list,3,FALSE))</f>
        <v/>
      </c>
      <c r="T6" s="500" t="str">
        <f t="shared" ref="T6:T48" si="4">IF(AND(ISBLANK($J6),ISBLANK($K6)),"",VLOOKUP(MAX($J6,$K6),lease_id_list,5,FALSE))</f>
        <v/>
      </c>
      <c r="U6" s="503" t="str">
        <f t="shared" ref="U6:U48" si="5">IF(AND(ISBLANK($J6),ISBLANK($K6)),"",VLOOKUP(MAX($J6,$K6),lease_id_list,6,FALSE))</f>
        <v/>
      </c>
      <c r="V6" s="503"/>
      <c r="W6" s="508"/>
      <c r="X6" s="544"/>
    </row>
    <row r="7" spans="1:42" x14ac:dyDescent="0.2">
      <c r="A7" s="499"/>
      <c r="B7" s="500"/>
      <c r="C7" s="500"/>
      <c r="D7" s="500"/>
      <c r="E7" s="500"/>
      <c r="F7" s="500"/>
      <c r="G7" s="500"/>
      <c r="H7" s="500"/>
      <c r="I7" s="500"/>
      <c r="J7" s="505"/>
      <c r="K7" s="505"/>
      <c r="L7" s="505"/>
      <c r="M7" s="505"/>
      <c r="N7" s="486" t="str">
        <f t="shared" si="0"/>
        <v/>
      </c>
      <c r="O7" s="503" t="str">
        <f t="shared" si="1"/>
        <v/>
      </c>
      <c r="P7" s="486"/>
      <c r="Q7" s="486"/>
      <c r="R7" s="486" t="str">
        <f t="shared" si="2"/>
        <v/>
      </c>
      <c r="S7" s="486" t="str">
        <f t="shared" si="3"/>
        <v/>
      </c>
      <c r="T7" s="500" t="str">
        <f t="shared" si="4"/>
        <v/>
      </c>
      <c r="U7" s="503" t="str">
        <f t="shared" si="5"/>
        <v/>
      </c>
      <c r="V7" s="503"/>
      <c r="W7" s="508"/>
      <c r="X7" s="544"/>
    </row>
    <row r="8" spans="1:42" x14ac:dyDescent="0.2">
      <c r="A8" s="499"/>
      <c r="B8" s="500"/>
      <c r="C8" s="500"/>
      <c r="D8" s="500"/>
      <c r="E8" s="500"/>
      <c r="F8" s="500"/>
      <c r="G8" s="500"/>
      <c r="H8" s="500"/>
      <c r="I8" s="500"/>
      <c r="J8" s="505"/>
      <c r="K8" s="505"/>
      <c r="L8" s="505"/>
      <c r="M8" s="505"/>
      <c r="N8" s="486" t="str">
        <f t="shared" si="0"/>
        <v/>
      </c>
      <c r="O8" s="503" t="str">
        <f t="shared" si="1"/>
        <v/>
      </c>
      <c r="P8" s="486"/>
      <c r="Q8" s="486"/>
      <c r="R8" s="486" t="str">
        <f t="shared" si="2"/>
        <v/>
      </c>
      <c r="S8" s="486" t="str">
        <f t="shared" si="3"/>
        <v/>
      </c>
      <c r="T8" s="500" t="str">
        <f t="shared" si="4"/>
        <v/>
      </c>
      <c r="U8" s="503" t="str">
        <f t="shared" si="5"/>
        <v/>
      </c>
      <c r="V8" s="503"/>
      <c r="W8" s="508"/>
      <c r="X8" s="544"/>
    </row>
    <row r="9" spans="1:42" x14ac:dyDescent="0.2">
      <c r="A9" s="499"/>
      <c r="B9" s="500"/>
      <c r="C9" s="500"/>
      <c r="D9" s="500"/>
      <c r="E9" s="500"/>
      <c r="F9" s="500"/>
      <c r="G9" s="500"/>
      <c r="H9" s="500"/>
      <c r="I9" s="500"/>
      <c r="J9" s="505"/>
      <c r="K9" s="505"/>
      <c r="L9" s="505"/>
      <c r="M9" s="505"/>
      <c r="N9" s="486" t="str">
        <f t="shared" si="0"/>
        <v/>
      </c>
      <c r="O9" s="503" t="str">
        <f t="shared" si="1"/>
        <v/>
      </c>
      <c r="P9" s="486"/>
      <c r="Q9" s="486"/>
      <c r="R9" s="486" t="str">
        <f t="shared" si="2"/>
        <v/>
      </c>
      <c r="S9" s="486" t="str">
        <f t="shared" si="3"/>
        <v/>
      </c>
      <c r="T9" s="500" t="str">
        <f t="shared" si="4"/>
        <v/>
      </c>
      <c r="U9" s="503" t="str">
        <f t="shared" si="5"/>
        <v/>
      </c>
      <c r="V9" s="503"/>
      <c r="W9" s="508"/>
      <c r="X9" s="544"/>
    </row>
    <row r="10" spans="1:42" x14ac:dyDescent="0.2">
      <c r="A10" s="499"/>
      <c r="B10" s="500"/>
      <c r="C10" s="500"/>
      <c r="D10" s="500"/>
      <c r="E10" s="500"/>
      <c r="F10" s="500"/>
      <c r="G10" s="500"/>
      <c r="H10" s="500"/>
      <c r="I10" s="500"/>
      <c r="J10" s="505"/>
      <c r="K10" s="505"/>
      <c r="L10" s="505"/>
      <c r="M10" s="505"/>
      <c r="N10" s="486" t="str">
        <f t="shared" si="0"/>
        <v/>
      </c>
      <c r="O10" s="503" t="str">
        <f t="shared" si="1"/>
        <v/>
      </c>
      <c r="P10" s="486"/>
      <c r="Q10" s="486"/>
      <c r="R10" s="486" t="str">
        <f t="shared" si="2"/>
        <v/>
      </c>
      <c r="S10" s="486" t="str">
        <f t="shared" si="3"/>
        <v/>
      </c>
      <c r="T10" s="500" t="str">
        <f t="shared" si="4"/>
        <v/>
      </c>
      <c r="U10" s="503" t="str">
        <f t="shared" si="5"/>
        <v/>
      </c>
      <c r="V10" s="503"/>
      <c r="W10" s="508"/>
      <c r="X10" s="544"/>
    </row>
    <row r="11" spans="1:42" x14ac:dyDescent="0.2">
      <c r="A11" s="499"/>
      <c r="B11" s="500"/>
      <c r="C11" s="500"/>
      <c r="D11" s="500"/>
      <c r="E11" s="500"/>
      <c r="F11" s="500"/>
      <c r="G11" s="500"/>
      <c r="H11" s="500"/>
      <c r="I11" s="500"/>
      <c r="J11" s="505"/>
      <c r="K11" s="505"/>
      <c r="L11" s="505"/>
      <c r="M11" s="505"/>
      <c r="N11" s="486" t="str">
        <f t="shared" si="0"/>
        <v/>
      </c>
      <c r="O11" s="503" t="str">
        <f t="shared" si="1"/>
        <v/>
      </c>
      <c r="P11" s="486"/>
      <c r="Q11" s="486"/>
      <c r="R11" s="486" t="str">
        <f t="shared" si="2"/>
        <v/>
      </c>
      <c r="S11" s="486" t="str">
        <f t="shared" si="3"/>
        <v/>
      </c>
      <c r="T11" s="500" t="str">
        <f t="shared" si="4"/>
        <v/>
      </c>
      <c r="U11" s="503" t="str">
        <f t="shared" si="5"/>
        <v/>
      </c>
      <c r="V11" s="503"/>
      <c r="W11" s="508"/>
      <c r="X11" s="544"/>
    </row>
    <row r="12" spans="1:42" x14ac:dyDescent="0.2">
      <c r="A12" s="499"/>
      <c r="B12" s="500"/>
      <c r="C12" s="500"/>
      <c r="D12" s="500"/>
      <c r="E12" s="500"/>
      <c r="F12" s="500"/>
      <c r="G12" s="500"/>
      <c r="H12" s="500"/>
      <c r="I12" s="500"/>
      <c r="J12" s="505"/>
      <c r="K12" s="505"/>
      <c r="L12" s="505"/>
      <c r="M12" s="505"/>
      <c r="N12" s="486" t="str">
        <f t="shared" si="0"/>
        <v/>
      </c>
      <c r="O12" s="503" t="str">
        <f t="shared" si="1"/>
        <v/>
      </c>
      <c r="P12" s="486"/>
      <c r="Q12" s="486"/>
      <c r="R12" s="486" t="str">
        <f t="shared" si="2"/>
        <v/>
      </c>
      <c r="S12" s="486" t="str">
        <f t="shared" si="3"/>
        <v/>
      </c>
      <c r="T12" s="500" t="str">
        <f t="shared" si="4"/>
        <v/>
      </c>
      <c r="U12" s="503" t="str">
        <f t="shared" si="5"/>
        <v/>
      </c>
      <c r="V12" s="503"/>
      <c r="W12" s="508"/>
      <c r="X12" s="544"/>
    </row>
    <row r="13" spans="1:42" x14ac:dyDescent="0.2">
      <c r="A13" s="499"/>
      <c r="B13" s="500"/>
      <c r="C13" s="500"/>
      <c r="D13" s="500"/>
      <c r="E13" s="500"/>
      <c r="F13" s="500"/>
      <c r="G13" s="500"/>
      <c r="H13" s="500"/>
      <c r="I13" s="500"/>
      <c r="J13" s="505"/>
      <c r="K13" s="505"/>
      <c r="L13" s="505"/>
      <c r="M13" s="505"/>
      <c r="N13" s="486" t="str">
        <f t="shared" si="0"/>
        <v/>
      </c>
      <c r="O13" s="503" t="str">
        <f t="shared" si="1"/>
        <v/>
      </c>
      <c r="P13" s="486"/>
      <c r="Q13" s="486"/>
      <c r="R13" s="486" t="str">
        <f t="shared" si="2"/>
        <v/>
      </c>
      <c r="S13" s="486" t="str">
        <f t="shared" si="3"/>
        <v/>
      </c>
      <c r="T13" s="500" t="str">
        <f t="shared" si="4"/>
        <v/>
      </c>
      <c r="U13" s="503" t="str">
        <f t="shared" si="5"/>
        <v/>
      </c>
      <c r="V13" s="503"/>
      <c r="W13" s="508"/>
      <c r="X13" s="544"/>
    </row>
    <row r="14" spans="1:42" x14ac:dyDescent="0.2">
      <c r="A14" s="499"/>
      <c r="B14" s="500"/>
      <c r="C14" s="500"/>
      <c r="D14" s="500"/>
      <c r="E14" s="500"/>
      <c r="F14" s="500"/>
      <c r="G14" s="500"/>
      <c r="H14" s="500"/>
      <c r="I14" s="500"/>
      <c r="J14" s="505"/>
      <c r="K14" s="505"/>
      <c r="L14" s="505"/>
      <c r="M14" s="505"/>
      <c r="N14" s="486" t="str">
        <f t="shared" si="0"/>
        <v/>
      </c>
      <c r="O14" s="503" t="str">
        <f t="shared" si="1"/>
        <v/>
      </c>
      <c r="P14" s="486"/>
      <c r="Q14" s="486"/>
      <c r="R14" s="486" t="str">
        <f t="shared" si="2"/>
        <v/>
      </c>
      <c r="S14" s="486" t="str">
        <f t="shared" si="3"/>
        <v/>
      </c>
      <c r="T14" s="500" t="str">
        <f t="shared" si="4"/>
        <v/>
      </c>
      <c r="U14" s="503" t="str">
        <f t="shared" si="5"/>
        <v/>
      </c>
      <c r="V14" s="503"/>
      <c r="W14" s="508"/>
      <c r="X14" s="544"/>
    </row>
    <row r="15" spans="1:42" x14ac:dyDescent="0.2">
      <c r="A15" s="499"/>
      <c r="B15" s="500"/>
      <c r="C15" s="500"/>
      <c r="D15" s="500"/>
      <c r="E15" s="500"/>
      <c r="F15" s="500"/>
      <c r="G15" s="500"/>
      <c r="H15" s="500"/>
      <c r="I15" s="500"/>
      <c r="J15" s="505"/>
      <c r="K15" s="505"/>
      <c r="L15" s="505"/>
      <c r="M15" s="505"/>
      <c r="N15" s="486" t="str">
        <f t="shared" si="0"/>
        <v/>
      </c>
      <c r="O15" s="503" t="str">
        <f t="shared" si="1"/>
        <v/>
      </c>
      <c r="P15" s="486"/>
      <c r="Q15" s="486"/>
      <c r="R15" s="486" t="str">
        <f t="shared" si="2"/>
        <v/>
      </c>
      <c r="S15" s="486" t="str">
        <f t="shared" si="3"/>
        <v/>
      </c>
      <c r="T15" s="500" t="str">
        <f t="shared" si="4"/>
        <v/>
      </c>
      <c r="U15" s="503" t="str">
        <f t="shared" si="5"/>
        <v/>
      </c>
      <c r="V15" s="503"/>
      <c r="W15" s="508"/>
      <c r="X15" s="544"/>
    </row>
    <row r="16" spans="1:42" x14ac:dyDescent="0.2">
      <c r="A16" s="499"/>
      <c r="B16" s="500"/>
      <c r="C16" s="500"/>
      <c r="D16" s="500"/>
      <c r="E16" s="500"/>
      <c r="F16" s="500"/>
      <c r="G16" s="500"/>
      <c r="H16" s="500"/>
      <c r="I16" s="500"/>
      <c r="J16" s="505"/>
      <c r="K16" s="505"/>
      <c r="L16" s="505"/>
      <c r="M16" s="505"/>
      <c r="N16" s="486" t="str">
        <f t="shared" si="0"/>
        <v/>
      </c>
      <c r="O16" s="503" t="str">
        <f t="shared" si="1"/>
        <v/>
      </c>
      <c r="P16" s="486"/>
      <c r="Q16" s="486"/>
      <c r="R16" s="486" t="str">
        <f t="shared" si="2"/>
        <v/>
      </c>
      <c r="S16" s="486" t="str">
        <f t="shared" si="3"/>
        <v/>
      </c>
      <c r="T16" s="500" t="str">
        <f t="shared" si="4"/>
        <v/>
      </c>
      <c r="U16" s="503" t="str">
        <f t="shared" si="5"/>
        <v/>
      </c>
      <c r="V16" s="503"/>
      <c r="W16" s="508"/>
      <c r="X16" s="544"/>
    </row>
    <row r="17" spans="1:24" x14ac:dyDescent="0.2">
      <c r="A17" s="499"/>
      <c r="B17" s="500"/>
      <c r="C17" s="500"/>
      <c r="D17" s="500"/>
      <c r="E17" s="500"/>
      <c r="F17" s="500"/>
      <c r="G17" s="500"/>
      <c r="H17" s="500"/>
      <c r="I17" s="500"/>
      <c r="J17" s="505"/>
      <c r="K17" s="505"/>
      <c r="L17" s="505"/>
      <c r="M17" s="505"/>
      <c r="N17" s="486" t="str">
        <f t="shared" si="0"/>
        <v/>
      </c>
      <c r="O17" s="503" t="str">
        <f t="shared" si="1"/>
        <v/>
      </c>
      <c r="P17" s="486"/>
      <c r="Q17" s="486"/>
      <c r="R17" s="486" t="str">
        <f t="shared" si="2"/>
        <v/>
      </c>
      <c r="S17" s="486" t="str">
        <f t="shared" si="3"/>
        <v/>
      </c>
      <c r="T17" s="500" t="str">
        <f t="shared" si="4"/>
        <v/>
      </c>
      <c r="U17" s="503" t="str">
        <f t="shared" si="5"/>
        <v/>
      </c>
      <c r="V17" s="503"/>
      <c r="W17" s="508"/>
      <c r="X17" s="544"/>
    </row>
    <row r="18" spans="1:24" x14ac:dyDescent="0.2">
      <c r="A18" s="499"/>
      <c r="B18" s="500"/>
      <c r="C18" s="500"/>
      <c r="D18" s="500"/>
      <c r="E18" s="500"/>
      <c r="F18" s="500"/>
      <c r="G18" s="500"/>
      <c r="H18" s="500"/>
      <c r="I18" s="500"/>
      <c r="J18" s="505"/>
      <c r="K18" s="505"/>
      <c r="L18" s="505"/>
      <c r="M18" s="505"/>
      <c r="N18" s="486" t="str">
        <f t="shared" si="0"/>
        <v/>
      </c>
      <c r="O18" s="503" t="str">
        <f t="shared" si="1"/>
        <v/>
      </c>
      <c r="P18" s="486"/>
      <c r="Q18" s="486"/>
      <c r="R18" s="486" t="str">
        <f t="shared" si="2"/>
        <v/>
      </c>
      <c r="S18" s="486" t="str">
        <f t="shared" si="3"/>
        <v/>
      </c>
      <c r="T18" s="500" t="str">
        <f t="shared" si="4"/>
        <v/>
      </c>
      <c r="U18" s="503" t="str">
        <f t="shared" si="5"/>
        <v/>
      </c>
      <c r="V18" s="503"/>
      <c r="W18" s="508"/>
      <c r="X18" s="544"/>
    </row>
    <row r="19" spans="1:24" x14ac:dyDescent="0.2">
      <c r="A19" s="499"/>
      <c r="B19" s="500"/>
      <c r="C19" s="500"/>
      <c r="D19" s="500"/>
      <c r="E19" s="500"/>
      <c r="F19" s="500"/>
      <c r="G19" s="500"/>
      <c r="H19" s="500"/>
      <c r="I19" s="500"/>
      <c r="J19" s="505"/>
      <c r="K19" s="505"/>
      <c r="L19" s="505"/>
      <c r="M19" s="505"/>
      <c r="N19" s="486" t="str">
        <f t="shared" si="0"/>
        <v/>
      </c>
      <c r="O19" s="503" t="str">
        <f t="shared" si="1"/>
        <v/>
      </c>
      <c r="P19" s="486"/>
      <c r="Q19" s="486"/>
      <c r="R19" s="486" t="str">
        <f t="shared" si="2"/>
        <v/>
      </c>
      <c r="S19" s="486" t="str">
        <f t="shared" si="3"/>
        <v/>
      </c>
      <c r="T19" s="500" t="str">
        <f t="shared" si="4"/>
        <v/>
      </c>
      <c r="U19" s="503" t="str">
        <f t="shared" si="5"/>
        <v/>
      </c>
      <c r="V19" s="503"/>
      <c r="W19" s="508"/>
      <c r="X19" s="544"/>
    </row>
    <row r="20" spans="1:24" x14ac:dyDescent="0.2">
      <c r="A20" s="499"/>
      <c r="B20" s="500"/>
      <c r="C20" s="500"/>
      <c r="D20" s="500"/>
      <c r="E20" s="500"/>
      <c r="F20" s="500"/>
      <c r="G20" s="500"/>
      <c r="H20" s="500"/>
      <c r="I20" s="500"/>
      <c r="J20" s="505"/>
      <c r="K20" s="505"/>
      <c r="L20" s="505"/>
      <c r="M20" s="505"/>
      <c r="N20" s="486" t="str">
        <f t="shared" si="0"/>
        <v/>
      </c>
      <c r="O20" s="503" t="str">
        <f t="shared" si="1"/>
        <v/>
      </c>
      <c r="P20" s="486"/>
      <c r="Q20" s="486"/>
      <c r="R20" s="486" t="str">
        <f t="shared" si="2"/>
        <v/>
      </c>
      <c r="S20" s="486" t="str">
        <f t="shared" si="3"/>
        <v/>
      </c>
      <c r="T20" s="500" t="str">
        <f t="shared" si="4"/>
        <v/>
      </c>
      <c r="U20" s="503" t="str">
        <f t="shared" si="5"/>
        <v/>
      </c>
      <c r="V20" s="503"/>
      <c r="W20" s="508"/>
      <c r="X20" s="544"/>
    </row>
    <row r="21" spans="1:24" x14ac:dyDescent="0.2">
      <c r="A21" s="499"/>
      <c r="B21" s="500"/>
      <c r="C21" s="500"/>
      <c r="D21" s="500"/>
      <c r="E21" s="500"/>
      <c r="F21" s="500"/>
      <c r="G21" s="500"/>
      <c r="H21" s="500"/>
      <c r="I21" s="500"/>
      <c r="J21" s="505"/>
      <c r="K21" s="505"/>
      <c r="L21" s="505"/>
      <c r="M21" s="505"/>
      <c r="N21" s="486" t="str">
        <f t="shared" si="0"/>
        <v/>
      </c>
      <c r="O21" s="503" t="str">
        <f t="shared" si="1"/>
        <v/>
      </c>
      <c r="P21" s="486"/>
      <c r="Q21" s="486"/>
      <c r="R21" s="486" t="str">
        <f t="shared" si="2"/>
        <v/>
      </c>
      <c r="S21" s="486" t="str">
        <f t="shared" si="3"/>
        <v/>
      </c>
      <c r="T21" s="500" t="str">
        <f t="shared" si="4"/>
        <v/>
      </c>
      <c r="U21" s="503" t="str">
        <f t="shared" si="5"/>
        <v/>
      </c>
      <c r="V21" s="503"/>
      <c r="W21" s="508"/>
      <c r="X21" s="544"/>
    </row>
    <row r="22" spans="1:24" x14ac:dyDescent="0.2">
      <c r="A22" s="499"/>
      <c r="B22" s="500"/>
      <c r="C22" s="500"/>
      <c r="D22" s="500"/>
      <c r="E22" s="500"/>
      <c r="F22" s="500"/>
      <c r="G22" s="500"/>
      <c r="H22" s="500"/>
      <c r="I22" s="500"/>
      <c r="J22" s="505"/>
      <c r="K22" s="505"/>
      <c r="L22" s="505"/>
      <c r="M22" s="505"/>
      <c r="N22" s="486" t="str">
        <f t="shared" si="0"/>
        <v/>
      </c>
      <c r="O22" s="503" t="str">
        <f t="shared" si="1"/>
        <v/>
      </c>
      <c r="P22" s="486"/>
      <c r="Q22" s="486"/>
      <c r="R22" s="486" t="str">
        <f t="shared" si="2"/>
        <v/>
      </c>
      <c r="S22" s="486" t="str">
        <f t="shared" si="3"/>
        <v/>
      </c>
      <c r="T22" s="500" t="str">
        <f t="shared" si="4"/>
        <v/>
      </c>
      <c r="U22" s="503" t="str">
        <f t="shared" si="5"/>
        <v/>
      </c>
      <c r="V22" s="503"/>
      <c r="W22" s="508"/>
      <c r="X22" s="544"/>
    </row>
    <row r="23" spans="1:24" x14ac:dyDescent="0.2">
      <c r="A23" s="499"/>
      <c r="B23" s="500"/>
      <c r="C23" s="500"/>
      <c r="D23" s="500"/>
      <c r="E23" s="500"/>
      <c r="F23" s="500"/>
      <c r="G23" s="500"/>
      <c r="H23" s="500"/>
      <c r="I23" s="500"/>
      <c r="J23" s="505"/>
      <c r="K23" s="505"/>
      <c r="L23" s="505"/>
      <c r="M23" s="505"/>
      <c r="N23" s="486" t="str">
        <f t="shared" si="0"/>
        <v/>
      </c>
      <c r="O23" s="503" t="str">
        <f t="shared" si="1"/>
        <v/>
      </c>
      <c r="P23" s="486"/>
      <c r="Q23" s="486"/>
      <c r="R23" s="486" t="str">
        <f t="shared" si="2"/>
        <v/>
      </c>
      <c r="S23" s="486" t="str">
        <f t="shared" si="3"/>
        <v/>
      </c>
      <c r="T23" s="500" t="str">
        <f t="shared" si="4"/>
        <v/>
      </c>
      <c r="U23" s="503" t="str">
        <f t="shared" si="5"/>
        <v/>
      </c>
      <c r="V23" s="503"/>
      <c r="W23" s="508"/>
      <c r="X23" s="544"/>
    </row>
    <row r="24" spans="1:24" x14ac:dyDescent="0.2">
      <c r="A24" s="499"/>
      <c r="B24" s="500"/>
      <c r="C24" s="500"/>
      <c r="D24" s="500"/>
      <c r="E24" s="500"/>
      <c r="F24" s="500"/>
      <c r="G24" s="500"/>
      <c r="H24" s="500"/>
      <c r="I24" s="500"/>
      <c r="J24" s="505"/>
      <c r="K24" s="505"/>
      <c r="L24" s="505"/>
      <c r="M24" s="505"/>
      <c r="N24" s="486" t="str">
        <f t="shared" si="0"/>
        <v/>
      </c>
      <c r="O24" s="503" t="str">
        <f t="shared" si="1"/>
        <v/>
      </c>
      <c r="P24" s="486"/>
      <c r="Q24" s="486"/>
      <c r="R24" s="486" t="str">
        <f t="shared" si="2"/>
        <v/>
      </c>
      <c r="S24" s="486" t="str">
        <f t="shared" si="3"/>
        <v/>
      </c>
      <c r="T24" s="500" t="str">
        <f t="shared" si="4"/>
        <v/>
      </c>
      <c r="U24" s="503" t="str">
        <f t="shared" si="5"/>
        <v/>
      </c>
      <c r="V24" s="503"/>
      <c r="W24" s="508"/>
      <c r="X24" s="544"/>
    </row>
    <row r="25" spans="1:24" x14ac:dyDescent="0.2">
      <c r="A25" s="499"/>
      <c r="B25" s="500"/>
      <c r="C25" s="500"/>
      <c r="D25" s="500"/>
      <c r="E25" s="500"/>
      <c r="F25" s="500"/>
      <c r="G25" s="500"/>
      <c r="H25" s="500"/>
      <c r="I25" s="500"/>
      <c r="J25" s="505"/>
      <c r="K25" s="505"/>
      <c r="L25" s="505"/>
      <c r="M25" s="505"/>
      <c r="N25" s="486" t="str">
        <f t="shared" si="0"/>
        <v/>
      </c>
      <c r="O25" s="503" t="str">
        <f t="shared" si="1"/>
        <v/>
      </c>
      <c r="P25" s="486"/>
      <c r="Q25" s="486"/>
      <c r="R25" s="486" t="str">
        <f t="shared" si="2"/>
        <v/>
      </c>
      <c r="S25" s="486" t="str">
        <f t="shared" si="3"/>
        <v/>
      </c>
      <c r="T25" s="500" t="str">
        <f t="shared" si="4"/>
        <v/>
      </c>
      <c r="U25" s="503" t="str">
        <f t="shared" si="5"/>
        <v/>
      </c>
      <c r="V25" s="503"/>
      <c r="W25" s="508"/>
      <c r="X25" s="544"/>
    </row>
    <row r="26" spans="1:24" x14ac:dyDescent="0.2">
      <c r="A26" s="499"/>
      <c r="B26" s="500"/>
      <c r="C26" s="500"/>
      <c r="D26" s="500"/>
      <c r="E26" s="500"/>
      <c r="F26" s="500"/>
      <c r="G26" s="500"/>
      <c r="H26" s="500"/>
      <c r="I26" s="500"/>
      <c r="J26" s="505"/>
      <c r="K26" s="505"/>
      <c r="L26" s="505"/>
      <c r="M26" s="505"/>
      <c r="N26" s="486" t="str">
        <f t="shared" si="0"/>
        <v/>
      </c>
      <c r="O26" s="503" t="str">
        <f t="shared" si="1"/>
        <v/>
      </c>
      <c r="P26" s="486"/>
      <c r="Q26" s="486"/>
      <c r="R26" s="486" t="str">
        <f t="shared" si="2"/>
        <v/>
      </c>
      <c r="S26" s="486" t="str">
        <f t="shared" si="3"/>
        <v/>
      </c>
      <c r="T26" s="500" t="str">
        <f t="shared" si="4"/>
        <v/>
      </c>
      <c r="U26" s="503" t="str">
        <f t="shared" si="5"/>
        <v/>
      </c>
      <c r="V26" s="503"/>
      <c r="W26" s="508"/>
      <c r="X26" s="544"/>
    </row>
    <row r="27" spans="1:24" x14ac:dyDescent="0.2">
      <c r="A27" s="499"/>
      <c r="B27" s="500"/>
      <c r="C27" s="500"/>
      <c r="D27" s="500"/>
      <c r="E27" s="500"/>
      <c r="F27" s="500"/>
      <c r="G27" s="500"/>
      <c r="H27" s="500"/>
      <c r="I27" s="500"/>
      <c r="J27" s="505"/>
      <c r="K27" s="505"/>
      <c r="L27" s="505"/>
      <c r="M27" s="505"/>
      <c r="N27" s="486" t="str">
        <f t="shared" si="0"/>
        <v/>
      </c>
      <c r="O27" s="503" t="str">
        <f t="shared" si="1"/>
        <v/>
      </c>
      <c r="P27" s="486"/>
      <c r="Q27" s="486"/>
      <c r="R27" s="486" t="str">
        <f t="shared" si="2"/>
        <v/>
      </c>
      <c r="S27" s="486" t="str">
        <f t="shared" si="3"/>
        <v/>
      </c>
      <c r="T27" s="500" t="str">
        <f t="shared" si="4"/>
        <v/>
      </c>
      <c r="U27" s="503" t="str">
        <f t="shared" si="5"/>
        <v/>
      </c>
      <c r="V27" s="503"/>
      <c r="W27" s="508"/>
      <c r="X27" s="544"/>
    </row>
    <row r="28" spans="1:24" x14ac:dyDescent="0.2">
      <c r="A28" s="499"/>
      <c r="B28" s="500"/>
      <c r="C28" s="500"/>
      <c r="D28" s="500"/>
      <c r="E28" s="500"/>
      <c r="F28" s="500"/>
      <c r="G28" s="500"/>
      <c r="H28" s="500"/>
      <c r="I28" s="500"/>
      <c r="J28" s="505"/>
      <c r="K28" s="505"/>
      <c r="L28" s="505"/>
      <c r="M28" s="505"/>
      <c r="N28" s="486" t="str">
        <f t="shared" si="0"/>
        <v/>
      </c>
      <c r="O28" s="503" t="str">
        <f t="shared" si="1"/>
        <v/>
      </c>
      <c r="P28" s="486"/>
      <c r="Q28" s="486"/>
      <c r="R28" s="486" t="str">
        <f t="shared" si="2"/>
        <v/>
      </c>
      <c r="S28" s="486" t="str">
        <f t="shared" si="3"/>
        <v/>
      </c>
      <c r="T28" s="500" t="str">
        <f t="shared" si="4"/>
        <v/>
      </c>
      <c r="U28" s="503" t="str">
        <f t="shared" si="5"/>
        <v/>
      </c>
      <c r="V28" s="503"/>
      <c r="W28" s="508"/>
      <c r="X28" s="544"/>
    </row>
    <row r="29" spans="1:24" x14ac:dyDescent="0.2">
      <c r="A29" s="499"/>
      <c r="B29" s="500"/>
      <c r="C29" s="500"/>
      <c r="D29" s="500"/>
      <c r="E29" s="500"/>
      <c r="F29" s="500"/>
      <c r="G29" s="500"/>
      <c r="H29" s="500"/>
      <c r="I29" s="500"/>
      <c r="J29" s="505"/>
      <c r="K29" s="505"/>
      <c r="L29" s="505"/>
      <c r="M29" s="505"/>
      <c r="N29" s="486" t="str">
        <f t="shared" si="0"/>
        <v/>
      </c>
      <c r="O29" s="503" t="str">
        <f t="shared" si="1"/>
        <v/>
      </c>
      <c r="P29" s="486"/>
      <c r="Q29" s="486"/>
      <c r="R29" s="486" t="str">
        <f t="shared" si="2"/>
        <v/>
      </c>
      <c r="S29" s="486" t="str">
        <f t="shared" si="3"/>
        <v/>
      </c>
      <c r="T29" s="500" t="str">
        <f t="shared" si="4"/>
        <v/>
      </c>
      <c r="U29" s="503" t="str">
        <f t="shared" si="5"/>
        <v/>
      </c>
      <c r="V29" s="503"/>
      <c r="W29" s="508"/>
      <c r="X29" s="544"/>
    </row>
    <row r="30" spans="1:24" x14ac:dyDescent="0.2">
      <c r="A30" s="499"/>
      <c r="B30" s="500"/>
      <c r="C30" s="500"/>
      <c r="D30" s="500"/>
      <c r="E30" s="500"/>
      <c r="F30" s="500"/>
      <c r="G30" s="500"/>
      <c r="H30" s="500"/>
      <c r="I30" s="500"/>
      <c r="J30" s="505"/>
      <c r="K30" s="505"/>
      <c r="L30" s="505"/>
      <c r="M30" s="505"/>
      <c r="N30" s="486" t="str">
        <f t="shared" si="0"/>
        <v/>
      </c>
      <c r="O30" s="503" t="str">
        <f t="shared" si="1"/>
        <v/>
      </c>
      <c r="P30" s="486"/>
      <c r="Q30" s="486"/>
      <c r="R30" s="486" t="str">
        <f t="shared" si="2"/>
        <v/>
      </c>
      <c r="S30" s="486" t="str">
        <f t="shared" si="3"/>
        <v/>
      </c>
      <c r="T30" s="500" t="str">
        <f t="shared" si="4"/>
        <v/>
      </c>
      <c r="U30" s="503" t="str">
        <f t="shared" si="5"/>
        <v/>
      </c>
      <c r="V30" s="503"/>
      <c r="W30" s="508"/>
      <c r="X30" s="544"/>
    </row>
    <row r="31" spans="1:24" x14ac:dyDescent="0.2">
      <c r="A31" s="499"/>
      <c r="B31" s="500"/>
      <c r="C31" s="500"/>
      <c r="D31" s="500"/>
      <c r="E31" s="500"/>
      <c r="F31" s="500"/>
      <c r="G31" s="500"/>
      <c r="H31" s="500"/>
      <c r="I31" s="500"/>
      <c r="J31" s="505"/>
      <c r="K31" s="505"/>
      <c r="L31" s="505"/>
      <c r="M31" s="505"/>
      <c r="N31" s="486" t="str">
        <f t="shared" si="0"/>
        <v/>
      </c>
      <c r="O31" s="503" t="str">
        <f t="shared" si="1"/>
        <v/>
      </c>
      <c r="P31" s="486"/>
      <c r="Q31" s="486"/>
      <c r="R31" s="486" t="str">
        <f t="shared" si="2"/>
        <v/>
      </c>
      <c r="S31" s="486" t="str">
        <f t="shared" si="3"/>
        <v/>
      </c>
      <c r="T31" s="500" t="str">
        <f t="shared" si="4"/>
        <v/>
      </c>
      <c r="U31" s="503" t="str">
        <f t="shared" si="5"/>
        <v/>
      </c>
      <c r="V31" s="503"/>
      <c r="W31" s="508"/>
      <c r="X31" s="544"/>
    </row>
    <row r="32" spans="1:24" x14ac:dyDescent="0.2">
      <c r="A32" s="499"/>
      <c r="B32" s="500"/>
      <c r="C32" s="500"/>
      <c r="D32" s="500"/>
      <c r="E32" s="500"/>
      <c r="F32" s="500"/>
      <c r="G32" s="500"/>
      <c r="H32" s="500"/>
      <c r="I32" s="500"/>
      <c r="J32" s="505"/>
      <c r="K32" s="505"/>
      <c r="L32" s="505"/>
      <c r="M32" s="505"/>
      <c r="N32" s="486" t="str">
        <f t="shared" si="0"/>
        <v/>
      </c>
      <c r="O32" s="503" t="str">
        <f t="shared" si="1"/>
        <v/>
      </c>
      <c r="P32" s="486"/>
      <c r="Q32" s="486"/>
      <c r="R32" s="486" t="str">
        <f t="shared" si="2"/>
        <v/>
      </c>
      <c r="S32" s="486" t="str">
        <f t="shared" si="3"/>
        <v/>
      </c>
      <c r="T32" s="500" t="str">
        <f t="shared" si="4"/>
        <v/>
      </c>
      <c r="U32" s="503" t="str">
        <f t="shared" si="5"/>
        <v/>
      </c>
      <c r="V32" s="503"/>
      <c r="W32" s="508"/>
      <c r="X32" s="544"/>
    </row>
    <row r="33" spans="1:24" x14ac:dyDescent="0.2">
      <c r="A33" s="499"/>
      <c r="B33" s="500"/>
      <c r="C33" s="500"/>
      <c r="D33" s="500"/>
      <c r="E33" s="500"/>
      <c r="F33" s="500"/>
      <c r="G33" s="500"/>
      <c r="H33" s="500"/>
      <c r="I33" s="500"/>
      <c r="J33" s="505"/>
      <c r="K33" s="505"/>
      <c r="L33" s="505"/>
      <c r="M33" s="505"/>
      <c r="N33" s="486" t="str">
        <f t="shared" si="0"/>
        <v/>
      </c>
      <c r="O33" s="503" t="str">
        <f t="shared" si="1"/>
        <v/>
      </c>
      <c r="P33" s="486"/>
      <c r="Q33" s="486"/>
      <c r="R33" s="486" t="str">
        <f t="shared" si="2"/>
        <v/>
      </c>
      <c r="S33" s="486" t="str">
        <f t="shared" si="3"/>
        <v/>
      </c>
      <c r="T33" s="500" t="str">
        <f t="shared" si="4"/>
        <v/>
      </c>
      <c r="U33" s="503" t="str">
        <f t="shared" si="5"/>
        <v/>
      </c>
      <c r="V33" s="503"/>
      <c r="W33" s="508"/>
      <c r="X33" s="544"/>
    </row>
    <row r="34" spans="1:24" x14ac:dyDescent="0.2">
      <c r="A34" s="499"/>
      <c r="B34" s="500"/>
      <c r="C34" s="500"/>
      <c r="D34" s="500"/>
      <c r="E34" s="500"/>
      <c r="F34" s="500"/>
      <c r="G34" s="500"/>
      <c r="H34" s="500"/>
      <c r="I34" s="500"/>
      <c r="J34" s="505"/>
      <c r="K34" s="505"/>
      <c r="L34" s="505"/>
      <c r="M34" s="505"/>
      <c r="N34" s="486" t="str">
        <f t="shared" si="0"/>
        <v/>
      </c>
      <c r="O34" s="503" t="str">
        <f t="shared" si="1"/>
        <v/>
      </c>
      <c r="P34" s="486"/>
      <c r="Q34" s="486"/>
      <c r="R34" s="486" t="str">
        <f t="shared" si="2"/>
        <v/>
      </c>
      <c r="S34" s="486" t="str">
        <f t="shared" si="3"/>
        <v/>
      </c>
      <c r="T34" s="500" t="str">
        <f t="shared" si="4"/>
        <v/>
      </c>
      <c r="U34" s="503" t="str">
        <f t="shared" si="5"/>
        <v/>
      </c>
      <c r="V34" s="503"/>
      <c r="W34" s="508"/>
      <c r="X34" s="544"/>
    </row>
    <row r="35" spans="1:24" x14ac:dyDescent="0.2">
      <c r="A35" s="499"/>
      <c r="B35" s="500"/>
      <c r="C35" s="500"/>
      <c r="D35" s="500"/>
      <c r="E35" s="500"/>
      <c r="F35" s="500"/>
      <c r="G35" s="500"/>
      <c r="H35" s="500"/>
      <c r="I35" s="500"/>
      <c r="J35" s="505"/>
      <c r="K35" s="505"/>
      <c r="L35" s="505"/>
      <c r="M35" s="505"/>
      <c r="N35" s="486" t="str">
        <f t="shared" si="0"/>
        <v/>
      </c>
      <c r="O35" s="503" t="str">
        <f t="shared" si="1"/>
        <v/>
      </c>
      <c r="P35" s="486"/>
      <c r="Q35" s="486"/>
      <c r="R35" s="486" t="str">
        <f t="shared" si="2"/>
        <v/>
      </c>
      <c r="S35" s="486" t="str">
        <f t="shared" si="3"/>
        <v/>
      </c>
      <c r="T35" s="500" t="str">
        <f t="shared" si="4"/>
        <v/>
      </c>
      <c r="U35" s="503" t="str">
        <f t="shared" si="5"/>
        <v/>
      </c>
      <c r="V35" s="503"/>
      <c r="W35" s="508"/>
      <c r="X35" s="544"/>
    </row>
    <row r="36" spans="1:24" x14ac:dyDescent="0.2">
      <c r="A36" s="499"/>
      <c r="B36" s="500"/>
      <c r="C36" s="500"/>
      <c r="D36" s="500"/>
      <c r="E36" s="500"/>
      <c r="F36" s="500"/>
      <c r="G36" s="500"/>
      <c r="H36" s="500"/>
      <c r="I36" s="500"/>
      <c r="J36" s="505"/>
      <c r="K36" s="505"/>
      <c r="L36" s="505"/>
      <c r="M36" s="505"/>
      <c r="N36" s="486" t="str">
        <f t="shared" si="0"/>
        <v/>
      </c>
      <c r="O36" s="503" t="str">
        <f t="shared" si="1"/>
        <v/>
      </c>
      <c r="P36" s="486"/>
      <c r="Q36" s="486"/>
      <c r="R36" s="486" t="str">
        <f t="shared" si="2"/>
        <v/>
      </c>
      <c r="S36" s="486" t="str">
        <f t="shared" si="3"/>
        <v/>
      </c>
      <c r="T36" s="500" t="str">
        <f t="shared" si="4"/>
        <v/>
      </c>
      <c r="U36" s="503" t="str">
        <f t="shared" si="5"/>
        <v/>
      </c>
      <c r="V36" s="503"/>
      <c r="W36" s="508"/>
      <c r="X36" s="544"/>
    </row>
    <row r="37" spans="1:24" x14ac:dyDescent="0.2">
      <c r="A37" s="499"/>
      <c r="B37" s="500"/>
      <c r="C37" s="500"/>
      <c r="D37" s="500"/>
      <c r="E37" s="500"/>
      <c r="F37" s="500"/>
      <c r="G37" s="500"/>
      <c r="H37" s="500"/>
      <c r="I37" s="500"/>
      <c r="J37" s="505"/>
      <c r="K37" s="505"/>
      <c r="L37" s="505"/>
      <c r="M37" s="505"/>
      <c r="N37" s="486" t="str">
        <f t="shared" si="0"/>
        <v/>
      </c>
      <c r="O37" s="503" t="str">
        <f t="shared" si="1"/>
        <v/>
      </c>
      <c r="P37" s="486"/>
      <c r="Q37" s="486"/>
      <c r="R37" s="486" t="str">
        <f t="shared" si="2"/>
        <v/>
      </c>
      <c r="S37" s="486" t="str">
        <f t="shared" si="3"/>
        <v/>
      </c>
      <c r="T37" s="500" t="str">
        <f t="shared" si="4"/>
        <v/>
      </c>
      <c r="U37" s="503" t="str">
        <f t="shared" si="5"/>
        <v/>
      </c>
      <c r="V37" s="503"/>
      <c r="W37" s="508"/>
      <c r="X37" s="544"/>
    </row>
    <row r="38" spans="1:24" x14ac:dyDescent="0.2">
      <c r="A38" s="499"/>
      <c r="B38" s="500"/>
      <c r="C38" s="500"/>
      <c r="D38" s="500"/>
      <c r="E38" s="500"/>
      <c r="F38" s="500"/>
      <c r="G38" s="500"/>
      <c r="H38" s="500"/>
      <c r="I38" s="500"/>
      <c r="J38" s="505"/>
      <c r="K38" s="505"/>
      <c r="L38" s="505"/>
      <c r="M38" s="505"/>
      <c r="N38" s="486" t="str">
        <f t="shared" si="0"/>
        <v/>
      </c>
      <c r="O38" s="503" t="str">
        <f t="shared" si="1"/>
        <v/>
      </c>
      <c r="P38" s="486"/>
      <c r="Q38" s="486"/>
      <c r="R38" s="486" t="str">
        <f t="shared" si="2"/>
        <v/>
      </c>
      <c r="S38" s="486" t="str">
        <f t="shared" si="3"/>
        <v/>
      </c>
      <c r="T38" s="500" t="str">
        <f t="shared" si="4"/>
        <v/>
      </c>
      <c r="U38" s="503" t="str">
        <f t="shared" si="5"/>
        <v/>
      </c>
      <c r="V38" s="503"/>
      <c r="W38" s="508"/>
      <c r="X38" s="544"/>
    </row>
    <row r="39" spans="1:24" x14ac:dyDescent="0.2">
      <c r="A39" s="499"/>
      <c r="B39" s="500"/>
      <c r="C39" s="500"/>
      <c r="D39" s="500"/>
      <c r="E39" s="500"/>
      <c r="F39" s="500"/>
      <c r="G39" s="500"/>
      <c r="H39" s="500"/>
      <c r="I39" s="500"/>
      <c r="J39" s="505"/>
      <c r="K39" s="505"/>
      <c r="L39" s="505"/>
      <c r="M39" s="505"/>
      <c r="N39" s="486" t="str">
        <f t="shared" si="0"/>
        <v/>
      </c>
      <c r="O39" s="503" t="str">
        <f t="shared" si="1"/>
        <v/>
      </c>
      <c r="P39" s="486"/>
      <c r="Q39" s="486"/>
      <c r="R39" s="486" t="str">
        <f t="shared" si="2"/>
        <v/>
      </c>
      <c r="S39" s="486" t="str">
        <f t="shared" si="3"/>
        <v/>
      </c>
      <c r="T39" s="500" t="str">
        <f t="shared" si="4"/>
        <v/>
      </c>
      <c r="U39" s="503" t="str">
        <f t="shared" si="5"/>
        <v/>
      </c>
      <c r="V39" s="503"/>
      <c r="W39" s="508"/>
      <c r="X39" s="544"/>
    </row>
    <row r="40" spans="1:24" x14ac:dyDescent="0.2">
      <c r="A40" s="499"/>
      <c r="B40" s="500"/>
      <c r="C40" s="500"/>
      <c r="D40" s="500"/>
      <c r="E40" s="500"/>
      <c r="F40" s="500"/>
      <c r="G40" s="500"/>
      <c r="H40" s="500"/>
      <c r="I40" s="500"/>
      <c r="J40" s="505"/>
      <c r="K40" s="505"/>
      <c r="L40" s="505"/>
      <c r="M40" s="505"/>
      <c r="N40" s="486" t="str">
        <f t="shared" si="0"/>
        <v/>
      </c>
      <c r="O40" s="503" t="str">
        <f t="shared" si="1"/>
        <v/>
      </c>
      <c r="P40" s="486"/>
      <c r="Q40" s="486"/>
      <c r="R40" s="486" t="str">
        <f t="shared" si="2"/>
        <v/>
      </c>
      <c r="S40" s="486" t="str">
        <f t="shared" si="3"/>
        <v/>
      </c>
      <c r="T40" s="500" t="str">
        <f t="shared" si="4"/>
        <v/>
      </c>
      <c r="U40" s="503" t="str">
        <f t="shared" si="5"/>
        <v/>
      </c>
      <c r="V40" s="503"/>
      <c r="W40" s="508"/>
      <c r="X40" s="544"/>
    </row>
    <row r="41" spans="1:24" x14ac:dyDescent="0.2">
      <c r="A41" s="499"/>
      <c r="B41" s="500"/>
      <c r="C41" s="500"/>
      <c r="D41" s="500"/>
      <c r="E41" s="500"/>
      <c r="F41" s="500"/>
      <c r="G41" s="500"/>
      <c r="H41" s="500"/>
      <c r="I41" s="500"/>
      <c r="J41" s="505"/>
      <c r="K41" s="505"/>
      <c r="L41" s="505"/>
      <c r="M41" s="505"/>
      <c r="N41" s="486" t="str">
        <f t="shared" si="0"/>
        <v/>
      </c>
      <c r="O41" s="503" t="str">
        <f t="shared" si="1"/>
        <v/>
      </c>
      <c r="P41" s="486"/>
      <c r="Q41" s="486"/>
      <c r="R41" s="486" t="str">
        <f t="shared" si="2"/>
        <v/>
      </c>
      <c r="S41" s="486" t="str">
        <f t="shared" si="3"/>
        <v/>
      </c>
      <c r="T41" s="500" t="str">
        <f t="shared" si="4"/>
        <v/>
      </c>
      <c r="U41" s="503" t="str">
        <f t="shared" si="5"/>
        <v/>
      </c>
      <c r="V41" s="503"/>
      <c r="W41" s="508"/>
      <c r="X41" s="544"/>
    </row>
    <row r="42" spans="1:24" x14ac:dyDescent="0.2">
      <c r="A42" s="499"/>
      <c r="B42" s="500"/>
      <c r="C42" s="500"/>
      <c r="D42" s="500"/>
      <c r="E42" s="500"/>
      <c r="F42" s="500"/>
      <c r="G42" s="500"/>
      <c r="H42" s="500"/>
      <c r="I42" s="500"/>
      <c r="J42" s="505"/>
      <c r="K42" s="505"/>
      <c r="L42" s="505"/>
      <c r="M42" s="505"/>
      <c r="N42" s="486" t="str">
        <f t="shared" si="0"/>
        <v/>
      </c>
      <c r="O42" s="503" t="str">
        <f t="shared" si="1"/>
        <v/>
      </c>
      <c r="P42" s="486"/>
      <c r="Q42" s="486"/>
      <c r="R42" s="486" t="str">
        <f t="shared" si="2"/>
        <v/>
      </c>
      <c r="S42" s="486" t="str">
        <f t="shared" si="3"/>
        <v/>
      </c>
      <c r="T42" s="500" t="str">
        <f t="shared" si="4"/>
        <v/>
      </c>
      <c r="U42" s="503" t="str">
        <f t="shared" si="5"/>
        <v/>
      </c>
      <c r="V42" s="503"/>
      <c r="W42" s="508"/>
      <c r="X42" s="544"/>
    </row>
    <row r="43" spans="1:24" x14ac:dyDescent="0.2">
      <c r="A43" s="499"/>
      <c r="B43" s="500"/>
      <c r="C43" s="500"/>
      <c r="D43" s="500"/>
      <c r="E43" s="500"/>
      <c r="F43" s="500"/>
      <c r="G43" s="500"/>
      <c r="H43" s="500"/>
      <c r="I43" s="500"/>
      <c r="J43" s="505"/>
      <c r="K43" s="505"/>
      <c r="L43" s="505"/>
      <c r="M43" s="505"/>
      <c r="N43" s="486" t="str">
        <f t="shared" si="0"/>
        <v/>
      </c>
      <c r="O43" s="503" t="str">
        <f t="shared" si="1"/>
        <v/>
      </c>
      <c r="P43" s="486"/>
      <c r="Q43" s="486"/>
      <c r="R43" s="486" t="str">
        <f t="shared" si="2"/>
        <v/>
      </c>
      <c r="S43" s="486" t="str">
        <f t="shared" si="3"/>
        <v/>
      </c>
      <c r="T43" s="500" t="str">
        <f t="shared" si="4"/>
        <v/>
      </c>
      <c r="U43" s="503" t="str">
        <f t="shared" si="5"/>
        <v/>
      </c>
      <c r="V43" s="503"/>
      <c r="W43" s="508"/>
      <c r="X43" s="544"/>
    </row>
    <row r="44" spans="1:24" x14ac:dyDescent="0.2">
      <c r="A44" s="499"/>
      <c r="B44" s="500"/>
      <c r="C44" s="500"/>
      <c r="D44" s="500"/>
      <c r="E44" s="500"/>
      <c r="F44" s="500"/>
      <c r="G44" s="500"/>
      <c r="H44" s="500"/>
      <c r="I44" s="500"/>
      <c r="J44" s="505"/>
      <c r="K44" s="505"/>
      <c r="L44" s="505"/>
      <c r="M44" s="505"/>
      <c r="N44" s="486" t="str">
        <f t="shared" si="0"/>
        <v/>
      </c>
      <c r="O44" s="503" t="str">
        <f t="shared" si="1"/>
        <v/>
      </c>
      <c r="P44" s="486"/>
      <c r="Q44" s="486"/>
      <c r="R44" s="486" t="str">
        <f t="shared" si="2"/>
        <v/>
      </c>
      <c r="S44" s="486" t="str">
        <f t="shared" si="3"/>
        <v/>
      </c>
      <c r="T44" s="500" t="str">
        <f t="shared" si="4"/>
        <v/>
      </c>
      <c r="U44" s="503" t="str">
        <f t="shared" si="5"/>
        <v/>
      </c>
      <c r="V44" s="503"/>
      <c r="W44" s="508"/>
      <c r="X44" s="544"/>
    </row>
    <row r="45" spans="1:24" x14ac:dyDescent="0.2">
      <c r="A45" s="499"/>
      <c r="B45" s="500"/>
      <c r="C45" s="500"/>
      <c r="D45" s="500"/>
      <c r="E45" s="500"/>
      <c r="F45" s="500"/>
      <c r="G45" s="500"/>
      <c r="H45" s="500"/>
      <c r="I45" s="500"/>
      <c r="J45" s="505"/>
      <c r="K45" s="505"/>
      <c r="L45" s="505"/>
      <c r="M45" s="505"/>
      <c r="N45" s="486" t="str">
        <f t="shared" si="0"/>
        <v/>
      </c>
      <c r="O45" s="503" t="str">
        <f t="shared" si="1"/>
        <v/>
      </c>
      <c r="P45" s="486"/>
      <c r="Q45" s="486"/>
      <c r="R45" s="486" t="str">
        <f t="shared" si="2"/>
        <v/>
      </c>
      <c r="S45" s="486" t="str">
        <f t="shared" si="3"/>
        <v/>
      </c>
      <c r="T45" s="500" t="str">
        <f t="shared" si="4"/>
        <v/>
      </c>
      <c r="U45" s="503" t="str">
        <f t="shared" si="5"/>
        <v/>
      </c>
      <c r="V45" s="503"/>
      <c r="W45" s="508"/>
      <c r="X45" s="544"/>
    </row>
    <row r="46" spans="1:24" x14ac:dyDescent="0.2">
      <c r="A46" s="499"/>
      <c r="B46" s="500"/>
      <c r="C46" s="500"/>
      <c r="D46" s="500"/>
      <c r="E46" s="500"/>
      <c r="F46" s="500"/>
      <c r="G46" s="500"/>
      <c r="H46" s="500"/>
      <c r="I46" s="500"/>
      <c r="J46" s="505"/>
      <c r="K46" s="505"/>
      <c r="L46" s="505"/>
      <c r="M46" s="505"/>
      <c r="N46" s="486" t="str">
        <f t="shared" si="0"/>
        <v/>
      </c>
      <c r="O46" s="503" t="str">
        <f t="shared" si="1"/>
        <v/>
      </c>
      <c r="P46" s="486"/>
      <c r="Q46" s="486"/>
      <c r="R46" s="486" t="str">
        <f t="shared" si="2"/>
        <v/>
      </c>
      <c r="S46" s="486" t="str">
        <f t="shared" si="3"/>
        <v/>
      </c>
      <c r="T46" s="500" t="str">
        <f t="shared" si="4"/>
        <v/>
      </c>
      <c r="U46" s="503" t="str">
        <f t="shared" si="5"/>
        <v/>
      </c>
      <c r="V46" s="503"/>
      <c r="W46" s="508"/>
      <c r="X46" s="544"/>
    </row>
    <row r="47" spans="1:24" x14ac:dyDescent="0.2">
      <c r="A47" s="499"/>
      <c r="B47" s="500"/>
      <c r="C47" s="500"/>
      <c r="D47" s="500"/>
      <c r="E47" s="500"/>
      <c r="F47" s="500"/>
      <c r="G47" s="500"/>
      <c r="H47" s="500"/>
      <c r="I47" s="500"/>
      <c r="J47" s="505"/>
      <c r="K47" s="505"/>
      <c r="L47" s="505"/>
      <c r="M47" s="505"/>
      <c r="N47" s="486" t="str">
        <f t="shared" si="0"/>
        <v/>
      </c>
      <c r="O47" s="503" t="str">
        <f t="shared" si="1"/>
        <v/>
      </c>
      <c r="P47" s="486"/>
      <c r="Q47" s="486"/>
      <c r="R47" s="486" t="str">
        <f t="shared" si="2"/>
        <v/>
      </c>
      <c r="S47" s="486" t="str">
        <f t="shared" si="3"/>
        <v/>
      </c>
      <c r="T47" s="500" t="str">
        <f t="shared" si="4"/>
        <v/>
      </c>
      <c r="U47" s="503" t="str">
        <f t="shared" si="5"/>
        <v/>
      </c>
      <c r="V47" s="503"/>
      <c r="W47" s="508"/>
      <c r="X47" s="544"/>
    </row>
    <row r="48" spans="1:24" ht="13.5" thickBot="1" x14ac:dyDescent="0.25">
      <c r="A48" s="501"/>
      <c r="B48" s="502"/>
      <c r="C48" s="502"/>
      <c r="D48" s="502"/>
      <c r="E48" s="502"/>
      <c r="F48" s="502"/>
      <c r="G48" s="502"/>
      <c r="H48" s="502"/>
      <c r="I48" s="502"/>
      <c r="J48" s="507"/>
      <c r="K48" s="507"/>
      <c r="L48" s="507"/>
      <c r="M48" s="507"/>
      <c r="N48" s="487" t="str">
        <f t="shared" si="0"/>
        <v/>
      </c>
      <c r="O48" s="504" t="str">
        <f t="shared" si="1"/>
        <v/>
      </c>
      <c r="P48" s="487"/>
      <c r="Q48" s="487"/>
      <c r="R48" s="487" t="str">
        <f t="shared" si="2"/>
        <v/>
      </c>
      <c r="S48" s="487" t="str">
        <f t="shared" si="3"/>
        <v/>
      </c>
      <c r="T48" s="287" t="str">
        <f t="shared" si="4"/>
        <v/>
      </c>
      <c r="U48" s="504" t="str">
        <f t="shared" si="5"/>
        <v/>
      </c>
      <c r="V48" s="504"/>
      <c r="W48" s="509"/>
      <c r="X48" s="544"/>
    </row>
    <row r="49" spans="1:1" s="1090" customFormat="1" ht="2.25" customHeight="1" x14ac:dyDescent="0.2">
      <c r="A49" s="1138" t="s">
        <v>757</v>
      </c>
    </row>
    <row r="50" spans="1:1" ht="14.25" hidden="1" customHeight="1" x14ac:dyDescent="0.2"/>
  </sheetData>
  <sheetProtection sheet="1" objects="1" scenarios="1"/>
  <mergeCells count="10">
    <mergeCell ref="A49:XFD49"/>
    <mergeCell ref="A1:W1"/>
    <mergeCell ref="A3:W3"/>
    <mergeCell ref="A4:C4"/>
    <mergeCell ref="D4:I4"/>
    <mergeCell ref="Q2:W2"/>
    <mergeCell ref="J4:K4"/>
    <mergeCell ref="A2:M2"/>
    <mergeCell ref="N2:P2"/>
    <mergeCell ref="L4:W4"/>
  </mergeCells>
  <phoneticPr fontId="6" type="noConversion"/>
  <hyperlinks>
    <hyperlink ref="O5" location="defs_NPI" display="NPI" xr:uid="{00000000-0004-0000-0B00-000000000000}"/>
    <hyperlink ref="K5" location="find_lease_entity" display="Equipment Leased From Entity Listed (find HCCIS ID)" xr:uid="{00000000-0004-0000-0B00-000001000000}"/>
    <hyperlink ref="J5" location="find_lease_entity" display="Equipment Leased To Entity Listed (find HCCIS ID)" xr:uid="{00000000-0004-0000-0B00-000002000000}"/>
    <hyperlink ref="Q2:W2" location="text_10" display="Document Explanations if needed" xr:uid="{00000000-0004-0000-0B00-000003000000}"/>
  </hyperlinks>
  <printOptions horizontalCentered="1"/>
  <pageMargins left="0.75" right="0.75" top="1" bottom="1" header="0.5" footer="0.5"/>
  <pageSetup scale="51" orientation="portrait" r:id="rId1"/>
  <headerFooter alignWithMargins="0">
    <oddFooter>&amp;L&amp;"Calibri,Regular"Diagnostic Imaging Facility Utilization Report
Fiscal Year 2024
&amp;C&amp;"Calibri,Regular"&amp;P of &amp;N&amp;R&amp;"Calibri,Regular"Minnesota Department of Health
Phone 651-201-3572
health.hccis@state.mn.us</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AO300"/>
  <sheetViews>
    <sheetView topLeftCell="E1" zoomScaleNormal="100" workbookViewId="0">
      <selection sqref="A1:V1"/>
    </sheetView>
  </sheetViews>
  <sheetFormatPr defaultColWidth="0" defaultRowHeight="12.75" x14ac:dyDescent="0.2"/>
  <cols>
    <col min="1" max="4" width="9.140625" style="122" hidden="1" customWidth="1"/>
    <col min="5" max="5" width="3.7109375" style="122" customWidth="1"/>
    <col min="6" max="6" width="3.28515625" style="122" bestFit="1" customWidth="1"/>
    <col min="7" max="7" width="6.140625" style="122" customWidth="1"/>
    <col min="8" max="8" width="3.28515625" style="122" bestFit="1" customWidth="1"/>
    <col min="9" max="9" width="5.42578125" style="122" customWidth="1"/>
    <col min="10" max="10" width="3.28515625" style="122" bestFit="1" customWidth="1"/>
    <col min="11" max="11" width="16.42578125" style="122" customWidth="1"/>
    <col min="12" max="13" width="16.140625" style="122" customWidth="1"/>
    <col min="14" max="14" width="11" style="122" bestFit="1" customWidth="1"/>
    <col min="15" max="15" width="15.140625" style="122" customWidth="1"/>
    <col min="16" max="16" width="15.85546875" style="122" customWidth="1"/>
    <col min="17" max="17" width="15.140625" style="122" customWidth="1"/>
    <col min="18" max="18" width="9.140625" style="122" customWidth="1"/>
    <col min="19" max="19" width="5.7109375" style="122" bestFit="1" customWidth="1"/>
    <col min="20" max="20" width="6.28515625" style="122" bestFit="1" customWidth="1"/>
    <col min="21" max="22" width="12.7109375" style="122" bestFit="1" customWidth="1"/>
    <col min="23" max="23" width="10" style="122" hidden="1" customWidth="1"/>
    <col min="24" max="26" width="9.140625" style="122" hidden="1" customWidth="1"/>
    <col min="27" max="32" width="9.140625" style="281" hidden="1" customWidth="1"/>
    <col min="33" max="41" width="0" style="122" hidden="1" customWidth="1"/>
    <col min="42" max="16384" width="9.140625" style="122" hidden="1"/>
  </cols>
  <sheetData>
    <row r="1" spans="1:41" ht="24.95" customHeight="1" thickBot="1" x14ac:dyDescent="0.25">
      <c r="E1" s="1097" t="e">
        <f>CONCATENATE('Demog Contact'!D$5," ",'Demog Contact'!D$6)</f>
        <v>#N/A</v>
      </c>
      <c r="F1" s="1139"/>
      <c r="G1" s="1139"/>
      <c r="H1" s="1139"/>
      <c r="I1" s="1139"/>
      <c r="J1" s="1139"/>
      <c r="K1" s="1139"/>
      <c r="L1" s="1139"/>
      <c r="M1" s="1139"/>
      <c r="N1" s="1139"/>
      <c r="O1" s="1139"/>
      <c r="P1" s="1139"/>
      <c r="Q1" s="1139"/>
      <c r="R1" s="1139"/>
      <c r="S1" s="1139"/>
      <c r="T1" s="1139"/>
      <c r="U1" s="1139"/>
      <c r="V1" s="1139"/>
    </row>
    <row r="2" spans="1:41" s="256" customFormat="1" ht="24.95" customHeight="1" x14ac:dyDescent="0.2">
      <c r="E2" s="1104" t="s">
        <v>111</v>
      </c>
      <c r="F2" s="1082"/>
      <c r="G2" s="1082"/>
      <c r="H2" s="1082"/>
      <c r="I2" s="1082"/>
      <c r="J2" s="1082"/>
      <c r="K2" s="1082"/>
      <c r="L2" s="1082"/>
      <c r="M2" s="1082"/>
      <c r="N2" s="1091" t="str">
        <f>CONCATENATE("Fiscal Year ",'Demog Contact'!L1)</f>
        <v>Fiscal Year 2024</v>
      </c>
      <c r="O2" s="1091"/>
      <c r="P2" s="1091"/>
      <c r="Q2" s="1064" t="s">
        <v>409</v>
      </c>
      <c r="R2" s="1064"/>
      <c r="S2" s="1064"/>
      <c r="T2" s="1064"/>
      <c r="U2" s="1064"/>
      <c r="V2" s="1065"/>
      <c r="AA2" s="281"/>
      <c r="AB2" s="281"/>
      <c r="AC2" s="281"/>
      <c r="AD2" s="281"/>
      <c r="AE2" s="281"/>
      <c r="AF2" s="281"/>
    </row>
    <row r="3" spans="1:41" ht="24.95" customHeight="1" x14ac:dyDescent="0.2">
      <c r="E3" s="1152" t="s">
        <v>675</v>
      </c>
      <c r="F3" s="1153"/>
      <c r="G3" s="1153"/>
      <c r="H3" s="1153"/>
      <c r="I3" s="1153"/>
      <c r="J3" s="1153"/>
      <c r="K3" s="1153"/>
      <c r="L3" s="1153"/>
      <c r="M3" s="1153"/>
      <c r="N3" s="1153"/>
      <c r="O3" s="1153"/>
      <c r="P3" s="1153"/>
      <c r="Q3" s="1153"/>
      <c r="R3" s="1153"/>
      <c r="S3" s="1153"/>
      <c r="T3" s="1153"/>
      <c r="U3" s="1153"/>
      <c r="V3" s="1154"/>
    </row>
    <row r="4" spans="1:41" ht="30" customHeight="1" x14ac:dyDescent="0.2">
      <c r="A4" s="282" t="s">
        <v>30</v>
      </c>
      <c r="B4" s="283" t="s">
        <v>171</v>
      </c>
      <c r="C4" s="282"/>
      <c r="D4" s="282"/>
      <c r="E4" s="1158" t="s">
        <v>95</v>
      </c>
      <c r="F4" s="1159"/>
      <c r="G4" s="1159"/>
      <c r="H4" s="1159"/>
      <c r="I4" s="1159"/>
      <c r="J4" s="1160"/>
      <c r="K4" s="1155" t="s">
        <v>752</v>
      </c>
      <c r="L4" s="1156"/>
      <c r="M4" s="1156"/>
      <c r="N4" s="1156"/>
      <c r="O4" s="1156"/>
      <c r="P4" s="1156"/>
      <c r="Q4" s="1156"/>
      <c r="R4" s="1156"/>
      <c r="S4" s="1156"/>
      <c r="T4" s="1156"/>
      <c r="U4" s="1156"/>
      <c r="V4" s="1157"/>
    </row>
    <row r="5" spans="1:41" ht="65.25" customHeight="1" x14ac:dyDescent="0.2">
      <c r="A5" s="282"/>
      <c r="B5" s="282" t="s">
        <v>27</v>
      </c>
      <c r="C5" s="282" t="s">
        <v>28</v>
      </c>
      <c r="D5" s="282" t="s">
        <v>29</v>
      </c>
      <c r="E5" s="284" t="s">
        <v>269</v>
      </c>
      <c r="F5" s="285" t="s">
        <v>270</v>
      </c>
      <c r="G5" s="286" t="s">
        <v>271</v>
      </c>
      <c r="H5" s="285" t="s">
        <v>272</v>
      </c>
      <c r="I5" s="286" t="s">
        <v>273</v>
      </c>
      <c r="J5" s="285" t="s">
        <v>274</v>
      </c>
      <c r="K5" s="274" t="s">
        <v>90</v>
      </c>
      <c r="L5" s="274" t="s">
        <v>91</v>
      </c>
      <c r="M5" s="274" t="s">
        <v>268</v>
      </c>
      <c r="N5" s="275" t="s">
        <v>87</v>
      </c>
      <c r="O5" s="274" t="s">
        <v>51</v>
      </c>
      <c r="P5" s="274" t="s">
        <v>52</v>
      </c>
      <c r="Q5" s="274" t="s">
        <v>127</v>
      </c>
      <c r="R5" s="274" t="s">
        <v>128</v>
      </c>
      <c r="S5" s="274" t="s">
        <v>136</v>
      </c>
      <c r="T5" s="274" t="s">
        <v>42</v>
      </c>
      <c r="U5" s="276" t="s">
        <v>267</v>
      </c>
      <c r="V5" s="277" t="s">
        <v>45</v>
      </c>
      <c r="W5" s="282" t="s">
        <v>31</v>
      </c>
      <c r="AA5" s="281" t="s">
        <v>488</v>
      </c>
      <c r="AB5" s="281" t="s">
        <v>489</v>
      </c>
      <c r="AC5" s="281" t="s">
        <v>490</v>
      </c>
      <c r="AD5" s="281" t="s">
        <v>491</v>
      </c>
      <c r="AE5" s="279" t="s">
        <v>492</v>
      </c>
      <c r="AF5" s="281" t="s">
        <v>493</v>
      </c>
      <c r="AG5" s="279"/>
      <c r="AH5" s="279"/>
      <c r="AJ5" s="279"/>
      <c r="AK5" s="279"/>
      <c r="AM5" s="279"/>
      <c r="AN5" s="279"/>
      <c r="AO5" s="280"/>
    </row>
    <row r="6" spans="1:41" x14ac:dyDescent="0.2">
      <c r="B6" s="122">
        <f t="shared" ref="B6:B37" si="0">start</f>
        <v>0</v>
      </c>
      <c r="C6" s="122">
        <v>2016</v>
      </c>
      <c r="D6" s="122">
        <v>49</v>
      </c>
      <c r="E6" s="495"/>
      <c r="F6" s="304"/>
      <c r="G6" s="304"/>
      <c r="H6" s="304"/>
      <c r="I6" s="304"/>
      <c r="J6" s="304"/>
      <c r="K6" s="505"/>
      <c r="L6" s="505"/>
      <c r="M6" s="486"/>
      <c r="N6" s="503"/>
      <c r="O6" s="486"/>
      <c r="P6" s="486"/>
      <c r="Q6" s="486"/>
      <c r="R6" s="486"/>
      <c r="S6" s="304"/>
      <c r="T6" s="503"/>
      <c r="U6" s="503"/>
      <c r="V6" s="508"/>
      <c r="W6" s="122">
        <v>20</v>
      </c>
      <c r="AA6" s="281" t="str">
        <f>IF(NOT(ISBLANK(E6)),L6,"")</f>
        <v/>
      </c>
      <c r="AB6" s="281" t="str">
        <f>IF(NOT(ISBLANK(F6)),L6,"")</f>
        <v/>
      </c>
      <c r="AC6" s="281" t="str">
        <f>IF(NOT(ISBLANK(G6)),L6,"")</f>
        <v/>
      </c>
      <c r="AD6" s="281" t="str">
        <f>IF(NOT(ISBLANK(H6)),L6,"")</f>
        <v/>
      </c>
      <c r="AE6" s="281" t="str">
        <f>IF(NOT(ISBLANK(I6)),L6,"")</f>
        <v/>
      </c>
      <c r="AF6" s="281" t="str">
        <f>IF(NOT(ISBLANK(J6)),L6,"")</f>
        <v/>
      </c>
    </row>
    <row r="7" spans="1:41" x14ac:dyDescent="0.2">
      <c r="B7" s="122">
        <f t="shared" si="0"/>
        <v>0</v>
      </c>
      <c r="C7" s="122">
        <v>2016</v>
      </c>
      <c r="D7" s="122">
        <v>49</v>
      </c>
      <c r="E7" s="495"/>
      <c r="F7" s="304"/>
      <c r="G7" s="304"/>
      <c r="H7" s="304"/>
      <c r="I7" s="304"/>
      <c r="J7" s="304"/>
      <c r="K7" s="505"/>
      <c r="L7" s="505"/>
      <c r="M7" s="486"/>
      <c r="N7" s="503"/>
      <c r="O7" s="486"/>
      <c r="P7" s="486"/>
      <c r="Q7" s="486"/>
      <c r="R7" s="486"/>
      <c r="S7" s="304"/>
      <c r="T7" s="503"/>
      <c r="U7" s="503"/>
      <c r="V7" s="508"/>
      <c r="W7" s="122">
        <v>20</v>
      </c>
      <c r="AA7" s="281" t="str">
        <f>IF(NOT(ISBLANK(E7)),L7,"")</f>
        <v/>
      </c>
      <c r="AB7" s="281" t="str">
        <f t="shared" ref="AB7:AB70" si="1">IF(NOT(ISBLANK(F7)),L7,"")</f>
        <v/>
      </c>
      <c r="AC7" s="281" t="str">
        <f t="shared" ref="AC7:AC70" si="2">IF(NOT(ISBLANK(G7)),L7,"")</f>
        <v/>
      </c>
      <c r="AD7" s="281" t="str">
        <f t="shared" ref="AD7:AD70" si="3">IF(NOT(ISBLANK(H7)),L7,"")</f>
        <v/>
      </c>
      <c r="AE7" s="281" t="str">
        <f t="shared" ref="AE7:AE70" si="4">IF(NOT(ISBLANK(I7)),L7,"")</f>
        <v/>
      </c>
      <c r="AF7" s="281" t="str">
        <f t="shared" ref="AF7:AF70" si="5">IF(NOT(ISBLANK(J7)),L7,"")</f>
        <v/>
      </c>
    </row>
    <row r="8" spans="1:41" x14ac:dyDescent="0.2">
      <c r="B8" s="122">
        <f t="shared" si="0"/>
        <v>0</v>
      </c>
      <c r="C8" s="122">
        <v>2016</v>
      </c>
      <c r="D8" s="122">
        <v>49</v>
      </c>
      <c r="E8" s="495"/>
      <c r="F8" s="304"/>
      <c r="G8" s="304"/>
      <c r="H8" s="304"/>
      <c r="I8" s="304"/>
      <c r="J8" s="304"/>
      <c r="K8" s="505"/>
      <c r="L8" s="505"/>
      <c r="M8" s="486"/>
      <c r="N8" s="503"/>
      <c r="O8" s="486"/>
      <c r="P8" s="486"/>
      <c r="Q8" s="486"/>
      <c r="R8" s="486"/>
      <c r="S8" s="304"/>
      <c r="T8" s="503"/>
      <c r="U8" s="503"/>
      <c r="V8" s="508"/>
      <c r="W8" s="122">
        <v>20</v>
      </c>
      <c r="AA8" s="281" t="str">
        <f t="shared" ref="AA8:AA71" si="6">IF(NOT(ISBLANK(E8)),L8,"")</f>
        <v/>
      </c>
      <c r="AB8" s="281" t="str">
        <f t="shared" si="1"/>
        <v/>
      </c>
      <c r="AC8" s="281" t="str">
        <f t="shared" si="2"/>
        <v/>
      </c>
      <c r="AD8" s="281" t="str">
        <f t="shared" si="3"/>
        <v/>
      </c>
      <c r="AE8" s="281" t="str">
        <f t="shared" si="4"/>
        <v/>
      </c>
      <c r="AF8" s="281" t="str">
        <f t="shared" si="5"/>
        <v/>
      </c>
    </row>
    <row r="9" spans="1:41" x14ac:dyDescent="0.2">
      <c r="B9" s="122">
        <f t="shared" si="0"/>
        <v>0</v>
      </c>
      <c r="C9" s="122">
        <v>2016</v>
      </c>
      <c r="D9" s="122">
        <v>49</v>
      </c>
      <c r="E9" s="495"/>
      <c r="F9" s="304"/>
      <c r="G9" s="304"/>
      <c r="H9" s="304"/>
      <c r="I9" s="304"/>
      <c r="J9" s="304"/>
      <c r="K9" s="505"/>
      <c r="L9" s="505"/>
      <c r="M9" s="486"/>
      <c r="N9" s="503"/>
      <c r="O9" s="486"/>
      <c r="P9" s="486"/>
      <c r="Q9" s="486"/>
      <c r="R9" s="486"/>
      <c r="S9" s="304"/>
      <c r="T9" s="503"/>
      <c r="U9" s="503"/>
      <c r="V9" s="508"/>
      <c r="W9" s="122">
        <v>20</v>
      </c>
      <c r="AA9" s="281" t="str">
        <f t="shared" si="6"/>
        <v/>
      </c>
      <c r="AB9" s="281" t="str">
        <f t="shared" si="1"/>
        <v/>
      </c>
      <c r="AC9" s="281" t="str">
        <f t="shared" si="2"/>
        <v/>
      </c>
      <c r="AD9" s="281" t="str">
        <f t="shared" si="3"/>
        <v/>
      </c>
      <c r="AE9" s="281" t="str">
        <f t="shared" si="4"/>
        <v/>
      </c>
      <c r="AF9" s="281" t="str">
        <f t="shared" si="5"/>
        <v/>
      </c>
    </row>
    <row r="10" spans="1:41" x14ac:dyDescent="0.2">
      <c r="B10" s="122">
        <f t="shared" si="0"/>
        <v>0</v>
      </c>
      <c r="C10" s="122">
        <v>2016</v>
      </c>
      <c r="D10" s="122">
        <v>49</v>
      </c>
      <c r="E10" s="495"/>
      <c r="F10" s="304"/>
      <c r="G10" s="304"/>
      <c r="H10" s="304"/>
      <c r="I10" s="304"/>
      <c r="J10" s="304"/>
      <c r="K10" s="505"/>
      <c r="L10" s="505"/>
      <c r="M10" s="486"/>
      <c r="N10" s="503"/>
      <c r="O10" s="486"/>
      <c r="P10" s="486"/>
      <c r="Q10" s="486"/>
      <c r="R10" s="486"/>
      <c r="S10" s="304"/>
      <c r="T10" s="503"/>
      <c r="U10" s="503"/>
      <c r="V10" s="508"/>
      <c r="W10" s="122">
        <v>20</v>
      </c>
      <c r="AA10" s="281" t="str">
        <f t="shared" si="6"/>
        <v/>
      </c>
      <c r="AB10" s="281" t="str">
        <f t="shared" si="1"/>
        <v/>
      </c>
      <c r="AC10" s="281" t="str">
        <f t="shared" si="2"/>
        <v/>
      </c>
      <c r="AD10" s="281" t="str">
        <f t="shared" si="3"/>
        <v/>
      </c>
      <c r="AE10" s="281" t="str">
        <f t="shared" si="4"/>
        <v/>
      </c>
      <c r="AF10" s="281" t="str">
        <f t="shared" si="5"/>
        <v/>
      </c>
    </row>
    <row r="11" spans="1:41" x14ac:dyDescent="0.2">
      <c r="B11" s="122">
        <f t="shared" si="0"/>
        <v>0</v>
      </c>
      <c r="C11" s="122">
        <v>2016</v>
      </c>
      <c r="D11" s="122">
        <v>49</v>
      </c>
      <c r="E11" s="495"/>
      <c r="F11" s="304"/>
      <c r="G11" s="304"/>
      <c r="H11" s="304"/>
      <c r="I11" s="304"/>
      <c r="J11" s="304"/>
      <c r="K11" s="505"/>
      <c r="L11" s="505"/>
      <c r="M11" s="486"/>
      <c r="N11" s="503"/>
      <c r="O11" s="486"/>
      <c r="P11" s="486"/>
      <c r="Q11" s="486"/>
      <c r="R11" s="486"/>
      <c r="S11" s="304"/>
      <c r="T11" s="503"/>
      <c r="U11" s="503"/>
      <c r="V11" s="508"/>
      <c r="W11" s="122">
        <v>20</v>
      </c>
      <c r="AA11" s="281" t="str">
        <f t="shared" si="6"/>
        <v/>
      </c>
      <c r="AB11" s="281" t="str">
        <f t="shared" si="1"/>
        <v/>
      </c>
      <c r="AC11" s="281" t="str">
        <f t="shared" si="2"/>
        <v/>
      </c>
      <c r="AD11" s="281" t="str">
        <f t="shared" si="3"/>
        <v/>
      </c>
      <c r="AE11" s="281" t="str">
        <f t="shared" si="4"/>
        <v/>
      </c>
      <c r="AF11" s="281" t="str">
        <f t="shared" si="5"/>
        <v/>
      </c>
    </row>
    <row r="12" spans="1:41" x14ac:dyDescent="0.2">
      <c r="B12" s="122">
        <f t="shared" si="0"/>
        <v>0</v>
      </c>
      <c r="C12" s="122">
        <v>2016</v>
      </c>
      <c r="D12" s="122">
        <v>49</v>
      </c>
      <c r="E12" s="495"/>
      <c r="F12" s="304"/>
      <c r="G12" s="304"/>
      <c r="H12" s="304"/>
      <c r="I12" s="304"/>
      <c r="J12" s="304"/>
      <c r="K12" s="505"/>
      <c r="L12" s="505"/>
      <c r="M12" s="486"/>
      <c r="N12" s="503"/>
      <c r="O12" s="486"/>
      <c r="P12" s="486"/>
      <c r="Q12" s="486"/>
      <c r="R12" s="486"/>
      <c r="S12" s="304"/>
      <c r="T12" s="503"/>
      <c r="U12" s="503"/>
      <c r="V12" s="508"/>
      <c r="W12" s="122">
        <v>20</v>
      </c>
      <c r="AA12" s="281" t="str">
        <f t="shared" si="6"/>
        <v/>
      </c>
      <c r="AB12" s="281" t="str">
        <f t="shared" si="1"/>
        <v/>
      </c>
      <c r="AC12" s="281" t="str">
        <f t="shared" si="2"/>
        <v/>
      </c>
      <c r="AD12" s="281" t="str">
        <f t="shared" si="3"/>
        <v/>
      </c>
      <c r="AE12" s="281" t="str">
        <f t="shared" si="4"/>
        <v/>
      </c>
      <c r="AF12" s="281" t="str">
        <f t="shared" si="5"/>
        <v/>
      </c>
    </row>
    <row r="13" spans="1:41" x14ac:dyDescent="0.2">
      <c r="B13" s="122">
        <f t="shared" si="0"/>
        <v>0</v>
      </c>
      <c r="C13" s="122">
        <v>2016</v>
      </c>
      <c r="D13" s="122">
        <v>49</v>
      </c>
      <c r="E13" s="495"/>
      <c r="F13" s="304"/>
      <c r="G13" s="304"/>
      <c r="H13" s="304"/>
      <c r="I13" s="304"/>
      <c r="J13" s="304"/>
      <c r="K13" s="505"/>
      <c r="L13" s="505"/>
      <c r="M13" s="486"/>
      <c r="N13" s="503"/>
      <c r="O13" s="486"/>
      <c r="P13" s="486"/>
      <c r="Q13" s="486"/>
      <c r="R13" s="486"/>
      <c r="S13" s="304"/>
      <c r="T13" s="503"/>
      <c r="U13" s="503"/>
      <c r="V13" s="508"/>
      <c r="W13" s="122">
        <v>20</v>
      </c>
      <c r="AA13" s="281" t="str">
        <f t="shared" si="6"/>
        <v/>
      </c>
      <c r="AB13" s="281" t="str">
        <f t="shared" si="1"/>
        <v/>
      </c>
      <c r="AC13" s="281" t="str">
        <f t="shared" si="2"/>
        <v/>
      </c>
      <c r="AD13" s="281" t="str">
        <f t="shared" si="3"/>
        <v/>
      </c>
      <c r="AE13" s="281" t="str">
        <f t="shared" si="4"/>
        <v/>
      </c>
      <c r="AF13" s="281" t="str">
        <f t="shared" si="5"/>
        <v/>
      </c>
    </row>
    <row r="14" spans="1:41" x14ac:dyDescent="0.2">
      <c r="B14" s="122">
        <f t="shared" si="0"/>
        <v>0</v>
      </c>
      <c r="C14" s="122">
        <v>2016</v>
      </c>
      <c r="D14" s="122">
        <v>49</v>
      </c>
      <c r="E14" s="495"/>
      <c r="F14" s="304"/>
      <c r="G14" s="304"/>
      <c r="H14" s="304"/>
      <c r="I14" s="304"/>
      <c r="J14" s="304"/>
      <c r="K14" s="505"/>
      <c r="L14" s="505"/>
      <c r="M14" s="486"/>
      <c r="N14" s="503"/>
      <c r="O14" s="486"/>
      <c r="P14" s="486"/>
      <c r="Q14" s="486"/>
      <c r="R14" s="486"/>
      <c r="S14" s="304"/>
      <c r="T14" s="503"/>
      <c r="U14" s="503"/>
      <c r="V14" s="508"/>
      <c r="W14" s="122">
        <v>20</v>
      </c>
      <c r="AA14" s="281" t="str">
        <f t="shared" si="6"/>
        <v/>
      </c>
      <c r="AB14" s="281" t="str">
        <f t="shared" si="1"/>
        <v/>
      </c>
      <c r="AC14" s="281" t="str">
        <f t="shared" si="2"/>
        <v/>
      </c>
      <c r="AD14" s="281" t="str">
        <f t="shared" si="3"/>
        <v/>
      </c>
      <c r="AE14" s="281" t="str">
        <f t="shared" si="4"/>
        <v/>
      </c>
      <c r="AF14" s="281" t="str">
        <f t="shared" si="5"/>
        <v/>
      </c>
    </row>
    <row r="15" spans="1:41" x14ac:dyDescent="0.2">
      <c r="B15" s="122">
        <f t="shared" si="0"/>
        <v>0</v>
      </c>
      <c r="C15" s="122">
        <v>2016</v>
      </c>
      <c r="D15" s="122">
        <v>49</v>
      </c>
      <c r="E15" s="495"/>
      <c r="F15" s="304"/>
      <c r="G15" s="304"/>
      <c r="H15" s="304"/>
      <c r="I15" s="304"/>
      <c r="J15" s="304"/>
      <c r="K15" s="505"/>
      <c r="L15" s="505"/>
      <c r="M15" s="486"/>
      <c r="N15" s="503"/>
      <c r="O15" s="486"/>
      <c r="P15" s="486"/>
      <c r="Q15" s="486"/>
      <c r="R15" s="486"/>
      <c r="S15" s="304"/>
      <c r="T15" s="503"/>
      <c r="U15" s="503"/>
      <c r="V15" s="508"/>
      <c r="W15" s="122">
        <v>20</v>
      </c>
      <c r="AA15" s="281" t="str">
        <f t="shared" si="6"/>
        <v/>
      </c>
      <c r="AB15" s="281" t="str">
        <f t="shared" si="1"/>
        <v/>
      </c>
      <c r="AC15" s="281" t="str">
        <f t="shared" si="2"/>
        <v/>
      </c>
      <c r="AD15" s="281" t="str">
        <f t="shared" si="3"/>
        <v/>
      </c>
      <c r="AE15" s="281" t="str">
        <f t="shared" si="4"/>
        <v/>
      </c>
      <c r="AF15" s="281" t="str">
        <f t="shared" si="5"/>
        <v/>
      </c>
    </row>
    <row r="16" spans="1:41" x14ac:dyDescent="0.2">
      <c r="B16" s="122">
        <f t="shared" si="0"/>
        <v>0</v>
      </c>
      <c r="C16" s="122">
        <v>2016</v>
      </c>
      <c r="D16" s="122">
        <v>49</v>
      </c>
      <c r="E16" s="495"/>
      <c r="F16" s="304"/>
      <c r="G16" s="304"/>
      <c r="H16" s="304"/>
      <c r="I16" s="304"/>
      <c r="J16" s="304"/>
      <c r="K16" s="505"/>
      <c r="L16" s="505"/>
      <c r="M16" s="486"/>
      <c r="N16" s="503"/>
      <c r="O16" s="486"/>
      <c r="P16" s="486"/>
      <c r="Q16" s="486"/>
      <c r="R16" s="486"/>
      <c r="S16" s="304"/>
      <c r="T16" s="503"/>
      <c r="U16" s="503"/>
      <c r="V16" s="508"/>
      <c r="W16" s="122">
        <v>20</v>
      </c>
      <c r="AA16" s="281" t="str">
        <f t="shared" si="6"/>
        <v/>
      </c>
      <c r="AB16" s="281" t="str">
        <f t="shared" si="1"/>
        <v/>
      </c>
      <c r="AC16" s="281" t="str">
        <f t="shared" si="2"/>
        <v/>
      </c>
      <c r="AD16" s="281" t="str">
        <f t="shared" si="3"/>
        <v/>
      </c>
      <c r="AE16" s="281" t="str">
        <f t="shared" si="4"/>
        <v/>
      </c>
      <c r="AF16" s="281" t="str">
        <f t="shared" si="5"/>
        <v/>
      </c>
    </row>
    <row r="17" spans="2:32" x14ac:dyDescent="0.2">
      <c r="B17" s="122">
        <f t="shared" si="0"/>
        <v>0</v>
      </c>
      <c r="C17" s="122">
        <v>2016</v>
      </c>
      <c r="D17" s="122">
        <v>49</v>
      </c>
      <c r="E17" s="495"/>
      <c r="F17" s="304"/>
      <c r="G17" s="304"/>
      <c r="H17" s="304"/>
      <c r="I17" s="304"/>
      <c r="J17" s="304"/>
      <c r="K17" s="505"/>
      <c r="L17" s="505"/>
      <c r="M17" s="486"/>
      <c r="N17" s="503"/>
      <c r="O17" s="486"/>
      <c r="P17" s="486"/>
      <c r="Q17" s="486"/>
      <c r="R17" s="486"/>
      <c r="S17" s="304"/>
      <c r="T17" s="503"/>
      <c r="U17" s="503"/>
      <c r="V17" s="508"/>
      <c r="W17" s="122">
        <v>20</v>
      </c>
      <c r="AA17" s="281" t="str">
        <f t="shared" si="6"/>
        <v/>
      </c>
      <c r="AB17" s="281" t="str">
        <f t="shared" si="1"/>
        <v/>
      </c>
      <c r="AC17" s="281" t="str">
        <f t="shared" si="2"/>
        <v/>
      </c>
      <c r="AD17" s="281" t="str">
        <f t="shared" si="3"/>
        <v/>
      </c>
      <c r="AE17" s="281" t="str">
        <f t="shared" si="4"/>
        <v/>
      </c>
      <c r="AF17" s="281" t="str">
        <f t="shared" si="5"/>
        <v/>
      </c>
    </row>
    <row r="18" spans="2:32" x14ac:dyDescent="0.2">
      <c r="B18" s="122">
        <f t="shared" si="0"/>
        <v>0</v>
      </c>
      <c r="C18" s="122">
        <v>2016</v>
      </c>
      <c r="D18" s="122">
        <v>49</v>
      </c>
      <c r="E18" s="495"/>
      <c r="F18" s="304"/>
      <c r="G18" s="304"/>
      <c r="H18" s="304"/>
      <c r="I18" s="304"/>
      <c r="J18" s="304"/>
      <c r="K18" s="505"/>
      <c r="L18" s="505"/>
      <c r="M18" s="486"/>
      <c r="N18" s="503"/>
      <c r="O18" s="486"/>
      <c r="P18" s="486"/>
      <c r="Q18" s="486"/>
      <c r="R18" s="486"/>
      <c r="S18" s="304"/>
      <c r="T18" s="503"/>
      <c r="U18" s="503"/>
      <c r="V18" s="508"/>
      <c r="W18" s="122">
        <v>20</v>
      </c>
      <c r="AA18" s="281" t="str">
        <f t="shared" si="6"/>
        <v/>
      </c>
      <c r="AB18" s="281" t="str">
        <f t="shared" si="1"/>
        <v/>
      </c>
      <c r="AC18" s="281" t="str">
        <f t="shared" si="2"/>
        <v/>
      </c>
      <c r="AD18" s="281" t="str">
        <f t="shared" si="3"/>
        <v/>
      </c>
      <c r="AE18" s="281" t="str">
        <f t="shared" si="4"/>
        <v/>
      </c>
      <c r="AF18" s="281" t="str">
        <f t="shared" si="5"/>
        <v/>
      </c>
    </row>
    <row r="19" spans="2:32" x14ac:dyDescent="0.2">
      <c r="B19" s="122">
        <f t="shared" si="0"/>
        <v>0</v>
      </c>
      <c r="C19" s="122">
        <v>2016</v>
      </c>
      <c r="D19" s="122">
        <v>49</v>
      </c>
      <c r="E19" s="495"/>
      <c r="F19" s="304"/>
      <c r="G19" s="304"/>
      <c r="H19" s="304"/>
      <c r="I19" s="304"/>
      <c r="J19" s="304"/>
      <c r="K19" s="505"/>
      <c r="L19" s="505"/>
      <c r="M19" s="486"/>
      <c r="N19" s="503"/>
      <c r="O19" s="486"/>
      <c r="P19" s="486"/>
      <c r="Q19" s="486"/>
      <c r="R19" s="486"/>
      <c r="S19" s="304"/>
      <c r="T19" s="503"/>
      <c r="U19" s="503"/>
      <c r="V19" s="508"/>
      <c r="W19" s="122">
        <v>20</v>
      </c>
      <c r="AA19" s="281" t="str">
        <f t="shared" si="6"/>
        <v/>
      </c>
      <c r="AB19" s="281" t="str">
        <f t="shared" si="1"/>
        <v/>
      </c>
      <c r="AC19" s="281" t="str">
        <f t="shared" si="2"/>
        <v/>
      </c>
      <c r="AD19" s="281" t="str">
        <f t="shared" si="3"/>
        <v/>
      </c>
      <c r="AE19" s="281" t="str">
        <f t="shared" si="4"/>
        <v/>
      </c>
      <c r="AF19" s="281" t="str">
        <f t="shared" si="5"/>
        <v/>
      </c>
    </row>
    <row r="20" spans="2:32" x14ac:dyDescent="0.2">
      <c r="B20" s="122">
        <f t="shared" si="0"/>
        <v>0</v>
      </c>
      <c r="C20" s="122">
        <v>2016</v>
      </c>
      <c r="D20" s="122">
        <v>49</v>
      </c>
      <c r="E20" s="495"/>
      <c r="F20" s="304"/>
      <c r="G20" s="304"/>
      <c r="H20" s="304"/>
      <c r="I20" s="304"/>
      <c r="J20" s="304"/>
      <c r="K20" s="505"/>
      <c r="L20" s="505"/>
      <c r="M20" s="486"/>
      <c r="N20" s="503"/>
      <c r="O20" s="486"/>
      <c r="P20" s="486"/>
      <c r="Q20" s="486"/>
      <c r="R20" s="486"/>
      <c r="S20" s="304"/>
      <c r="T20" s="503"/>
      <c r="U20" s="503"/>
      <c r="V20" s="508"/>
      <c r="W20" s="122">
        <v>20</v>
      </c>
      <c r="AA20" s="281" t="str">
        <f t="shared" si="6"/>
        <v/>
      </c>
      <c r="AB20" s="281" t="str">
        <f t="shared" si="1"/>
        <v/>
      </c>
      <c r="AC20" s="281" t="str">
        <f t="shared" si="2"/>
        <v/>
      </c>
      <c r="AD20" s="281" t="str">
        <f t="shared" si="3"/>
        <v/>
      </c>
      <c r="AE20" s="281" t="str">
        <f t="shared" si="4"/>
        <v/>
      </c>
      <c r="AF20" s="281" t="str">
        <f t="shared" si="5"/>
        <v/>
      </c>
    </row>
    <row r="21" spans="2:32" x14ac:dyDescent="0.2">
      <c r="B21" s="122">
        <f t="shared" si="0"/>
        <v>0</v>
      </c>
      <c r="C21" s="122">
        <v>2016</v>
      </c>
      <c r="D21" s="122">
        <v>49</v>
      </c>
      <c r="E21" s="495"/>
      <c r="F21" s="304"/>
      <c r="G21" s="304"/>
      <c r="H21" s="304"/>
      <c r="I21" s="304"/>
      <c r="J21" s="304"/>
      <c r="K21" s="505"/>
      <c r="L21" s="505"/>
      <c r="M21" s="486"/>
      <c r="N21" s="503"/>
      <c r="O21" s="486"/>
      <c r="P21" s="486"/>
      <c r="Q21" s="486"/>
      <c r="R21" s="486"/>
      <c r="S21" s="304"/>
      <c r="T21" s="503"/>
      <c r="U21" s="503"/>
      <c r="V21" s="508"/>
      <c r="W21" s="122">
        <v>20</v>
      </c>
      <c r="AA21" s="281" t="str">
        <f t="shared" si="6"/>
        <v/>
      </c>
      <c r="AB21" s="281" t="str">
        <f t="shared" si="1"/>
        <v/>
      </c>
      <c r="AC21" s="281" t="str">
        <f t="shared" si="2"/>
        <v/>
      </c>
      <c r="AD21" s="281" t="str">
        <f t="shared" si="3"/>
        <v/>
      </c>
      <c r="AE21" s="281" t="str">
        <f t="shared" si="4"/>
        <v/>
      </c>
      <c r="AF21" s="281" t="str">
        <f t="shared" si="5"/>
        <v/>
      </c>
    </row>
    <row r="22" spans="2:32" x14ac:dyDescent="0.2">
      <c r="B22" s="122">
        <f t="shared" si="0"/>
        <v>0</v>
      </c>
      <c r="C22" s="122">
        <v>2016</v>
      </c>
      <c r="D22" s="122">
        <v>49</v>
      </c>
      <c r="E22" s="495"/>
      <c r="F22" s="304"/>
      <c r="G22" s="304"/>
      <c r="H22" s="304"/>
      <c r="I22" s="304"/>
      <c r="J22" s="304"/>
      <c r="K22" s="505"/>
      <c r="L22" s="505"/>
      <c r="M22" s="486"/>
      <c r="N22" s="503"/>
      <c r="O22" s="486"/>
      <c r="P22" s="486"/>
      <c r="Q22" s="486"/>
      <c r="R22" s="486"/>
      <c r="S22" s="304"/>
      <c r="T22" s="503"/>
      <c r="U22" s="503"/>
      <c r="V22" s="508"/>
      <c r="W22" s="122">
        <v>20</v>
      </c>
      <c r="AA22" s="281" t="str">
        <f t="shared" si="6"/>
        <v/>
      </c>
      <c r="AB22" s="281" t="str">
        <f t="shared" si="1"/>
        <v/>
      </c>
      <c r="AC22" s="281" t="str">
        <f t="shared" si="2"/>
        <v/>
      </c>
      <c r="AD22" s="281" t="str">
        <f t="shared" si="3"/>
        <v/>
      </c>
      <c r="AE22" s="281" t="str">
        <f t="shared" si="4"/>
        <v/>
      </c>
      <c r="AF22" s="281" t="str">
        <f t="shared" si="5"/>
        <v/>
      </c>
    </row>
    <row r="23" spans="2:32" x14ac:dyDescent="0.2">
      <c r="B23" s="122">
        <f t="shared" si="0"/>
        <v>0</v>
      </c>
      <c r="C23" s="122">
        <v>2016</v>
      </c>
      <c r="D23" s="122">
        <v>49</v>
      </c>
      <c r="E23" s="495"/>
      <c r="F23" s="304"/>
      <c r="G23" s="304"/>
      <c r="H23" s="304"/>
      <c r="I23" s="304"/>
      <c r="J23" s="304"/>
      <c r="K23" s="505"/>
      <c r="L23" s="505"/>
      <c r="M23" s="486"/>
      <c r="N23" s="503"/>
      <c r="O23" s="486"/>
      <c r="P23" s="486"/>
      <c r="Q23" s="486"/>
      <c r="R23" s="486"/>
      <c r="S23" s="304"/>
      <c r="T23" s="503"/>
      <c r="U23" s="503"/>
      <c r="V23" s="508"/>
      <c r="W23" s="122">
        <v>20</v>
      </c>
      <c r="AA23" s="281" t="str">
        <f t="shared" si="6"/>
        <v/>
      </c>
      <c r="AB23" s="281" t="str">
        <f t="shared" si="1"/>
        <v/>
      </c>
      <c r="AC23" s="281" t="str">
        <f t="shared" si="2"/>
        <v/>
      </c>
      <c r="AD23" s="281" t="str">
        <f t="shared" si="3"/>
        <v/>
      </c>
      <c r="AE23" s="281" t="str">
        <f t="shared" si="4"/>
        <v/>
      </c>
      <c r="AF23" s="281" t="str">
        <f t="shared" si="5"/>
        <v/>
      </c>
    </row>
    <row r="24" spans="2:32" x14ac:dyDescent="0.2">
      <c r="B24" s="122">
        <f t="shared" si="0"/>
        <v>0</v>
      </c>
      <c r="C24" s="122">
        <v>2016</v>
      </c>
      <c r="D24" s="122">
        <v>49</v>
      </c>
      <c r="E24" s="495"/>
      <c r="F24" s="304"/>
      <c r="G24" s="304"/>
      <c r="H24" s="304"/>
      <c r="I24" s="304"/>
      <c r="J24" s="304"/>
      <c r="K24" s="505"/>
      <c r="L24" s="505"/>
      <c r="M24" s="486"/>
      <c r="N24" s="503"/>
      <c r="O24" s="486"/>
      <c r="P24" s="486"/>
      <c r="Q24" s="486"/>
      <c r="R24" s="486"/>
      <c r="S24" s="304"/>
      <c r="T24" s="503"/>
      <c r="U24" s="503"/>
      <c r="V24" s="508"/>
      <c r="W24" s="122">
        <v>20</v>
      </c>
      <c r="AA24" s="281" t="str">
        <f t="shared" si="6"/>
        <v/>
      </c>
      <c r="AB24" s="281" t="str">
        <f t="shared" si="1"/>
        <v/>
      </c>
      <c r="AC24" s="281" t="str">
        <f t="shared" si="2"/>
        <v/>
      </c>
      <c r="AD24" s="281" t="str">
        <f t="shared" si="3"/>
        <v/>
      </c>
      <c r="AE24" s="281" t="str">
        <f t="shared" si="4"/>
        <v/>
      </c>
      <c r="AF24" s="281" t="str">
        <f t="shared" si="5"/>
        <v/>
      </c>
    </row>
    <row r="25" spans="2:32" x14ac:dyDescent="0.2">
      <c r="B25" s="122">
        <f t="shared" si="0"/>
        <v>0</v>
      </c>
      <c r="C25" s="122">
        <v>2016</v>
      </c>
      <c r="D25" s="122">
        <v>49</v>
      </c>
      <c r="E25" s="495"/>
      <c r="F25" s="304"/>
      <c r="G25" s="304"/>
      <c r="H25" s="304"/>
      <c r="I25" s="304"/>
      <c r="J25" s="304"/>
      <c r="K25" s="505"/>
      <c r="L25" s="505"/>
      <c r="M25" s="486"/>
      <c r="N25" s="503"/>
      <c r="O25" s="486"/>
      <c r="P25" s="486"/>
      <c r="Q25" s="486"/>
      <c r="R25" s="486"/>
      <c r="S25" s="304"/>
      <c r="T25" s="503"/>
      <c r="U25" s="503"/>
      <c r="V25" s="508"/>
      <c r="W25" s="122">
        <v>20</v>
      </c>
      <c r="AA25" s="281" t="str">
        <f t="shared" si="6"/>
        <v/>
      </c>
      <c r="AB25" s="281" t="str">
        <f t="shared" si="1"/>
        <v/>
      </c>
      <c r="AC25" s="281" t="str">
        <f t="shared" si="2"/>
        <v/>
      </c>
      <c r="AD25" s="281" t="str">
        <f t="shared" si="3"/>
        <v/>
      </c>
      <c r="AE25" s="281" t="str">
        <f t="shared" si="4"/>
        <v/>
      </c>
      <c r="AF25" s="281" t="str">
        <f t="shared" si="5"/>
        <v/>
      </c>
    </row>
    <row r="26" spans="2:32" x14ac:dyDescent="0.2">
      <c r="B26" s="122">
        <f t="shared" si="0"/>
        <v>0</v>
      </c>
      <c r="C26" s="122">
        <v>2016</v>
      </c>
      <c r="D26" s="122">
        <v>49</v>
      </c>
      <c r="E26" s="495"/>
      <c r="F26" s="304"/>
      <c r="G26" s="304"/>
      <c r="H26" s="304"/>
      <c r="I26" s="304"/>
      <c r="J26" s="304"/>
      <c r="K26" s="505"/>
      <c r="L26" s="505"/>
      <c r="M26" s="486"/>
      <c r="N26" s="503"/>
      <c r="O26" s="486"/>
      <c r="P26" s="486"/>
      <c r="Q26" s="486"/>
      <c r="R26" s="486"/>
      <c r="S26" s="304"/>
      <c r="T26" s="503"/>
      <c r="U26" s="503"/>
      <c r="V26" s="508"/>
      <c r="W26" s="122">
        <v>20</v>
      </c>
      <c r="AA26" s="281" t="str">
        <f t="shared" si="6"/>
        <v/>
      </c>
      <c r="AB26" s="281" t="str">
        <f t="shared" si="1"/>
        <v/>
      </c>
      <c r="AC26" s="281" t="str">
        <f t="shared" si="2"/>
        <v/>
      </c>
      <c r="AD26" s="281" t="str">
        <f t="shared" si="3"/>
        <v/>
      </c>
      <c r="AE26" s="281" t="str">
        <f t="shared" si="4"/>
        <v/>
      </c>
      <c r="AF26" s="281" t="str">
        <f t="shared" si="5"/>
        <v/>
      </c>
    </row>
    <row r="27" spans="2:32" x14ac:dyDescent="0.2">
      <c r="B27" s="122">
        <f t="shared" si="0"/>
        <v>0</v>
      </c>
      <c r="C27" s="122">
        <v>2016</v>
      </c>
      <c r="D27" s="122">
        <v>49</v>
      </c>
      <c r="E27" s="495"/>
      <c r="F27" s="304"/>
      <c r="G27" s="304"/>
      <c r="H27" s="304"/>
      <c r="I27" s="304"/>
      <c r="J27" s="304"/>
      <c r="K27" s="505"/>
      <c r="L27" s="505"/>
      <c r="M27" s="486"/>
      <c r="N27" s="503"/>
      <c r="O27" s="486"/>
      <c r="P27" s="486"/>
      <c r="Q27" s="486"/>
      <c r="R27" s="486"/>
      <c r="S27" s="304"/>
      <c r="T27" s="503"/>
      <c r="U27" s="503"/>
      <c r="V27" s="508"/>
      <c r="W27" s="122">
        <v>20</v>
      </c>
      <c r="AA27" s="281" t="str">
        <f t="shared" si="6"/>
        <v/>
      </c>
      <c r="AB27" s="281" t="str">
        <f t="shared" si="1"/>
        <v/>
      </c>
      <c r="AC27" s="281" t="str">
        <f t="shared" si="2"/>
        <v/>
      </c>
      <c r="AD27" s="281" t="str">
        <f t="shared" si="3"/>
        <v/>
      </c>
      <c r="AE27" s="281" t="str">
        <f t="shared" si="4"/>
        <v/>
      </c>
      <c r="AF27" s="281" t="str">
        <f t="shared" si="5"/>
        <v/>
      </c>
    </row>
    <row r="28" spans="2:32" x14ac:dyDescent="0.2">
      <c r="B28" s="122">
        <f t="shared" si="0"/>
        <v>0</v>
      </c>
      <c r="C28" s="122">
        <v>2016</v>
      </c>
      <c r="D28" s="122">
        <v>49</v>
      </c>
      <c r="E28" s="495"/>
      <c r="F28" s="304"/>
      <c r="G28" s="304"/>
      <c r="H28" s="304"/>
      <c r="I28" s="304"/>
      <c r="J28" s="304"/>
      <c r="K28" s="505"/>
      <c r="L28" s="505"/>
      <c r="M28" s="486"/>
      <c r="N28" s="503"/>
      <c r="O28" s="486"/>
      <c r="P28" s="486"/>
      <c r="Q28" s="486"/>
      <c r="R28" s="486"/>
      <c r="S28" s="304"/>
      <c r="T28" s="503"/>
      <c r="U28" s="503"/>
      <c r="V28" s="508"/>
      <c r="W28" s="122">
        <v>20</v>
      </c>
      <c r="AA28" s="281" t="str">
        <f t="shared" si="6"/>
        <v/>
      </c>
      <c r="AB28" s="281" t="str">
        <f t="shared" si="1"/>
        <v/>
      </c>
      <c r="AC28" s="281" t="str">
        <f t="shared" si="2"/>
        <v/>
      </c>
      <c r="AD28" s="281" t="str">
        <f t="shared" si="3"/>
        <v/>
      </c>
      <c r="AE28" s="281" t="str">
        <f t="shared" si="4"/>
        <v/>
      </c>
      <c r="AF28" s="281" t="str">
        <f t="shared" si="5"/>
        <v/>
      </c>
    </row>
    <row r="29" spans="2:32" x14ac:dyDescent="0.2">
      <c r="B29" s="122">
        <f t="shared" si="0"/>
        <v>0</v>
      </c>
      <c r="C29" s="122">
        <v>2016</v>
      </c>
      <c r="D29" s="122">
        <v>49</v>
      </c>
      <c r="E29" s="495"/>
      <c r="F29" s="304"/>
      <c r="G29" s="304"/>
      <c r="H29" s="304"/>
      <c r="I29" s="304"/>
      <c r="J29" s="304"/>
      <c r="K29" s="505"/>
      <c r="L29" s="505"/>
      <c r="M29" s="486"/>
      <c r="N29" s="503"/>
      <c r="O29" s="486"/>
      <c r="P29" s="486"/>
      <c r="Q29" s="486"/>
      <c r="R29" s="486"/>
      <c r="S29" s="304"/>
      <c r="T29" s="503"/>
      <c r="U29" s="503"/>
      <c r="V29" s="508"/>
      <c r="W29" s="122">
        <v>20</v>
      </c>
      <c r="AA29" s="281" t="str">
        <f t="shared" si="6"/>
        <v/>
      </c>
      <c r="AB29" s="281" t="str">
        <f t="shared" si="1"/>
        <v/>
      </c>
      <c r="AC29" s="281" t="str">
        <f t="shared" si="2"/>
        <v/>
      </c>
      <c r="AD29" s="281" t="str">
        <f t="shared" si="3"/>
        <v/>
      </c>
      <c r="AE29" s="281" t="str">
        <f t="shared" si="4"/>
        <v/>
      </c>
      <c r="AF29" s="281" t="str">
        <f t="shared" si="5"/>
        <v/>
      </c>
    </row>
    <row r="30" spans="2:32" x14ac:dyDescent="0.2">
      <c r="B30" s="122">
        <f t="shared" si="0"/>
        <v>0</v>
      </c>
      <c r="C30" s="122">
        <v>2016</v>
      </c>
      <c r="D30" s="122">
        <v>49</v>
      </c>
      <c r="E30" s="495"/>
      <c r="F30" s="304"/>
      <c r="G30" s="304"/>
      <c r="H30" s="304"/>
      <c r="I30" s="304"/>
      <c r="J30" s="304"/>
      <c r="K30" s="505"/>
      <c r="L30" s="505"/>
      <c r="M30" s="486"/>
      <c r="N30" s="503"/>
      <c r="O30" s="486"/>
      <c r="P30" s="486"/>
      <c r="Q30" s="486"/>
      <c r="R30" s="486"/>
      <c r="S30" s="304"/>
      <c r="T30" s="503"/>
      <c r="U30" s="503"/>
      <c r="V30" s="508"/>
      <c r="W30" s="122">
        <v>20</v>
      </c>
      <c r="AA30" s="281" t="str">
        <f t="shared" si="6"/>
        <v/>
      </c>
      <c r="AB30" s="281" t="str">
        <f t="shared" si="1"/>
        <v/>
      </c>
      <c r="AC30" s="281" t="str">
        <f t="shared" si="2"/>
        <v/>
      </c>
      <c r="AD30" s="281" t="str">
        <f t="shared" si="3"/>
        <v/>
      </c>
      <c r="AE30" s="281" t="str">
        <f t="shared" si="4"/>
        <v/>
      </c>
      <c r="AF30" s="281" t="str">
        <f t="shared" si="5"/>
        <v/>
      </c>
    </row>
    <row r="31" spans="2:32" x14ac:dyDescent="0.2">
      <c r="B31" s="122">
        <f t="shared" si="0"/>
        <v>0</v>
      </c>
      <c r="C31" s="122">
        <v>2016</v>
      </c>
      <c r="D31" s="122">
        <v>49</v>
      </c>
      <c r="E31" s="495"/>
      <c r="F31" s="304"/>
      <c r="G31" s="304"/>
      <c r="H31" s="304"/>
      <c r="I31" s="304"/>
      <c r="J31" s="304"/>
      <c r="K31" s="505"/>
      <c r="L31" s="505"/>
      <c r="M31" s="486"/>
      <c r="N31" s="503"/>
      <c r="O31" s="486"/>
      <c r="P31" s="486"/>
      <c r="Q31" s="486"/>
      <c r="R31" s="486"/>
      <c r="S31" s="304"/>
      <c r="T31" s="503"/>
      <c r="U31" s="503"/>
      <c r="V31" s="508"/>
      <c r="W31" s="122">
        <v>20</v>
      </c>
      <c r="AA31" s="281" t="str">
        <f t="shared" si="6"/>
        <v/>
      </c>
      <c r="AB31" s="281" t="str">
        <f t="shared" si="1"/>
        <v/>
      </c>
      <c r="AC31" s="281" t="str">
        <f t="shared" si="2"/>
        <v/>
      </c>
      <c r="AD31" s="281" t="str">
        <f t="shared" si="3"/>
        <v/>
      </c>
      <c r="AE31" s="281" t="str">
        <f t="shared" si="4"/>
        <v/>
      </c>
      <c r="AF31" s="281" t="str">
        <f t="shared" si="5"/>
        <v/>
      </c>
    </row>
    <row r="32" spans="2:32" x14ac:dyDescent="0.2">
      <c r="B32" s="122">
        <f t="shared" si="0"/>
        <v>0</v>
      </c>
      <c r="C32" s="122">
        <v>2016</v>
      </c>
      <c r="D32" s="122">
        <v>49</v>
      </c>
      <c r="E32" s="495"/>
      <c r="F32" s="304"/>
      <c r="G32" s="304"/>
      <c r="H32" s="304"/>
      <c r="I32" s="304"/>
      <c r="J32" s="304"/>
      <c r="K32" s="505"/>
      <c r="L32" s="505"/>
      <c r="M32" s="486"/>
      <c r="N32" s="503"/>
      <c r="O32" s="486"/>
      <c r="P32" s="486"/>
      <c r="Q32" s="486"/>
      <c r="R32" s="486"/>
      <c r="S32" s="304"/>
      <c r="T32" s="503"/>
      <c r="U32" s="503"/>
      <c r="V32" s="508"/>
      <c r="W32" s="122">
        <v>20</v>
      </c>
      <c r="AA32" s="281" t="str">
        <f t="shared" si="6"/>
        <v/>
      </c>
      <c r="AB32" s="281" t="str">
        <f t="shared" si="1"/>
        <v/>
      </c>
      <c r="AC32" s="281" t="str">
        <f t="shared" si="2"/>
        <v/>
      </c>
      <c r="AD32" s="281" t="str">
        <f t="shared" si="3"/>
        <v/>
      </c>
      <c r="AE32" s="281" t="str">
        <f t="shared" si="4"/>
        <v/>
      </c>
      <c r="AF32" s="281" t="str">
        <f t="shared" si="5"/>
        <v/>
      </c>
    </row>
    <row r="33" spans="2:32" x14ac:dyDescent="0.2">
      <c r="B33" s="122">
        <f t="shared" si="0"/>
        <v>0</v>
      </c>
      <c r="C33" s="122">
        <v>2016</v>
      </c>
      <c r="D33" s="122">
        <v>49</v>
      </c>
      <c r="E33" s="495"/>
      <c r="F33" s="304"/>
      <c r="G33" s="304"/>
      <c r="H33" s="304"/>
      <c r="I33" s="304"/>
      <c r="J33" s="304"/>
      <c r="K33" s="505"/>
      <c r="L33" s="505"/>
      <c r="M33" s="486"/>
      <c r="N33" s="503"/>
      <c r="O33" s="486"/>
      <c r="P33" s="486"/>
      <c r="Q33" s="486"/>
      <c r="R33" s="486"/>
      <c r="S33" s="304"/>
      <c r="T33" s="503"/>
      <c r="U33" s="503"/>
      <c r="V33" s="508"/>
      <c r="W33" s="122">
        <v>20</v>
      </c>
      <c r="AA33" s="281" t="str">
        <f t="shared" si="6"/>
        <v/>
      </c>
      <c r="AB33" s="281" t="str">
        <f t="shared" si="1"/>
        <v/>
      </c>
      <c r="AC33" s="281" t="str">
        <f t="shared" si="2"/>
        <v/>
      </c>
      <c r="AD33" s="281" t="str">
        <f t="shared" si="3"/>
        <v/>
      </c>
      <c r="AE33" s="281" t="str">
        <f t="shared" si="4"/>
        <v/>
      </c>
      <c r="AF33" s="281" t="str">
        <f t="shared" si="5"/>
        <v/>
      </c>
    </row>
    <row r="34" spans="2:32" x14ac:dyDescent="0.2">
      <c r="B34" s="122">
        <f t="shared" si="0"/>
        <v>0</v>
      </c>
      <c r="C34" s="122">
        <v>2016</v>
      </c>
      <c r="D34" s="122">
        <v>49</v>
      </c>
      <c r="E34" s="495"/>
      <c r="F34" s="304"/>
      <c r="G34" s="304"/>
      <c r="H34" s="304"/>
      <c r="I34" s="304"/>
      <c r="J34" s="304"/>
      <c r="K34" s="505"/>
      <c r="L34" s="505"/>
      <c r="M34" s="486"/>
      <c r="N34" s="503"/>
      <c r="O34" s="486"/>
      <c r="P34" s="486"/>
      <c r="Q34" s="486"/>
      <c r="R34" s="486"/>
      <c r="S34" s="304"/>
      <c r="T34" s="503"/>
      <c r="U34" s="503"/>
      <c r="V34" s="508"/>
      <c r="W34" s="122">
        <v>20</v>
      </c>
      <c r="AA34" s="281" t="str">
        <f t="shared" si="6"/>
        <v/>
      </c>
      <c r="AB34" s="281" t="str">
        <f t="shared" si="1"/>
        <v/>
      </c>
      <c r="AC34" s="281" t="str">
        <f t="shared" si="2"/>
        <v/>
      </c>
      <c r="AD34" s="281" t="str">
        <f t="shared" si="3"/>
        <v/>
      </c>
      <c r="AE34" s="281" t="str">
        <f t="shared" si="4"/>
        <v/>
      </c>
      <c r="AF34" s="281" t="str">
        <f t="shared" si="5"/>
        <v/>
      </c>
    </row>
    <row r="35" spans="2:32" x14ac:dyDescent="0.2">
      <c r="B35" s="122">
        <f t="shared" si="0"/>
        <v>0</v>
      </c>
      <c r="C35" s="122">
        <v>2016</v>
      </c>
      <c r="D35" s="122">
        <v>49</v>
      </c>
      <c r="E35" s="495"/>
      <c r="F35" s="304"/>
      <c r="G35" s="304"/>
      <c r="H35" s="304"/>
      <c r="I35" s="304"/>
      <c r="J35" s="304"/>
      <c r="K35" s="505"/>
      <c r="L35" s="505"/>
      <c r="M35" s="486"/>
      <c r="N35" s="503"/>
      <c r="O35" s="486"/>
      <c r="P35" s="486"/>
      <c r="Q35" s="486"/>
      <c r="R35" s="486"/>
      <c r="S35" s="304"/>
      <c r="T35" s="503"/>
      <c r="U35" s="503"/>
      <c r="V35" s="508"/>
      <c r="W35" s="122">
        <v>20</v>
      </c>
      <c r="AA35" s="281" t="str">
        <f t="shared" si="6"/>
        <v/>
      </c>
      <c r="AB35" s="281" t="str">
        <f t="shared" si="1"/>
        <v/>
      </c>
      <c r="AC35" s="281" t="str">
        <f t="shared" si="2"/>
        <v/>
      </c>
      <c r="AD35" s="281" t="str">
        <f t="shared" si="3"/>
        <v/>
      </c>
      <c r="AE35" s="281" t="str">
        <f t="shared" si="4"/>
        <v/>
      </c>
      <c r="AF35" s="281" t="str">
        <f t="shared" si="5"/>
        <v/>
      </c>
    </row>
    <row r="36" spans="2:32" x14ac:dyDescent="0.2">
      <c r="B36" s="122">
        <f t="shared" si="0"/>
        <v>0</v>
      </c>
      <c r="C36" s="122">
        <v>2016</v>
      </c>
      <c r="D36" s="122">
        <v>49</v>
      </c>
      <c r="E36" s="495"/>
      <c r="F36" s="304"/>
      <c r="G36" s="304"/>
      <c r="H36" s="304"/>
      <c r="I36" s="304"/>
      <c r="J36" s="304"/>
      <c r="K36" s="505"/>
      <c r="L36" s="505"/>
      <c r="M36" s="486"/>
      <c r="N36" s="503"/>
      <c r="O36" s="486"/>
      <c r="P36" s="486"/>
      <c r="Q36" s="486"/>
      <c r="R36" s="486"/>
      <c r="S36" s="304"/>
      <c r="T36" s="503"/>
      <c r="U36" s="503"/>
      <c r="V36" s="508"/>
      <c r="W36" s="122">
        <v>20</v>
      </c>
      <c r="AA36" s="281" t="str">
        <f t="shared" si="6"/>
        <v/>
      </c>
      <c r="AB36" s="281" t="str">
        <f t="shared" si="1"/>
        <v/>
      </c>
      <c r="AC36" s="281" t="str">
        <f t="shared" si="2"/>
        <v/>
      </c>
      <c r="AD36" s="281" t="str">
        <f t="shared" si="3"/>
        <v/>
      </c>
      <c r="AE36" s="281" t="str">
        <f t="shared" si="4"/>
        <v/>
      </c>
      <c r="AF36" s="281" t="str">
        <f t="shared" si="5"/>
        <v/>
      </c>
    </row>
    <row r="37" spans="2:32" x14ac:dyDescent="0.2">
      <c r="B37" s="122">
        <f t="shared" si="0"/>
        <v>0</v>
      </c>
      <c r="C37" s="122">
        <v>2016</v>
      </c>
      <c r="D37" s="122">
        <v>49</v>
      </c>
      <c r="E37" s="495"/>
      <c r="F37" s="304"/>
      <c r="G37" s="304"/>
      <c r="H37" s="304"/>
      <c r="I37" s="304"/>
      <c r="J37" s="304"/>
      <c r="K37" s="505"/>
      <c r="L37" s="505"/>
      <c r="M37" s="486"/>
      <c r="N37" s="503"/>
      <c r="O37" s="486"/>
      <c r="P37" s="486"/>
      <c r="Q37" s="486"/>
      <c r="R37" s="486"/>
      <c r="S37" s="304"/>
      <c r="T37" s="503"/>
      <c r="U37" s="503"/>
      <c r="V37" s="508"/>
      <c r="W37" s="122">
        <v>20</v>
      </c>
      <c r="AA37" s="281" t="str">
        <f t="shared" si="6"/>
        <v/>
      </c>
      <c r="AB37" s="281" t="str">
        <f t="shared" si="1"/>
        <v/>
      </c>
      <c r="AC37" s="281" t="str">
        <f t="shared" si="2"/>
        <v/>
      </c>
      <c r="AD37" s="281" t="str">
        <f t="shared" si="3"/>
        <v/>
      </c>
      <c r="AE37" s="281" t="str">
        <f t="shared" si="4"/>
        <v/>
      </c>
      <c r="AF37" s="281" t="str">
        <f t="shared" si="5"/>
        <v/>
      </c>
    </row>
    <row r="38" spans="2:32" x14ac:dyDescent="0.2">
      <c r="B38" s="122">
        <f t="shared" ref="B38:B48" si="7">start</f>
        <v>0</v>
      </c>
      <c r="C38" s="122">
        <v>2016</v>
      </c>
      <c r="D38" s="122">
        <v>49</v>
      </c>
      <c r="E38" s="495"/>
      <c r="F38" s="304"/>
      <c r="G38" s="304"/>
      <c r="H38" s="304"/>
      <c r="I38" s="304"/>
      <c r="J38" s="304"/>
      <c r="K38" s="505"/>
      <c r="L38" s="505"/>
      <c r="M38" s="486"/>
      <c r="N38" s="503"/>
      <c r="O38" s="486"/>
      <c r="P38" s="486"/>
      <c r="Q38" s="486"/>
      <c r="R38" s="486"/>
      <c r="S38" s="304"/>
      <c r="T38" s="503"/>
      <c r="U38" s="503"/>
      <c r="V38" s="508"/>
      <c r="W38" s="122">
        <v>20</v>
      </c>
      <c r="AA38" s="281" t="str">
        <f t="shared" si="6"/>
        <v/>
      </c>
      <c r="AB38" s="281" t="str">
        <f t="shared" si="1"/>
        <v/>
      </c>
      <c r="AC38" s="281" t="str">
        <f t="shared" si="2"/>
        <v/>
      </c>
      <c r="AD38" s="281" t="str">
        <f t="shared" si="3"/>
        <v/>
      </c>
      <c r="AE38" s="281" t="str">
        <f t="shared" si="4"/>
        <v/>
      </c>
      <c r="AF38" s="281" t="str">
        <f t="shared" si="5"/>
        <v/>
      </c>
    </row>
    <row r="39" spans="2:32" x14ac:dyDescent="0.2">
      <c r="B39" s="122">
        <f t="shared" si="7"/>
        <v>0</v>
      </c>
      <c r="C39" s="122">
        <v>2016</v>
      </c>
      <c r="D39" s="122">
        <v>49</v>
      </c>
      <c r="E39" s="495"/>
      <c r="F39" s="304"/>
      <c r="G39" s="304"/>
      <c r="H39" s="304"/>
      <c r="I39" s="304"/>
      <c r="J39" s="304"/>
      <c r="K39" s="505"/>
      <c r="L39" s="505"/>
      <c r="M39" s="486"/>
      <c r="N39" s="503"/>
      <c r="O39" s="486"/>
      <c r="P39" s="486"/>
      <c r="Q39" s="486"/>
      <c r="R39" s="486"/>
      <c r="S39" s="304"/>
      <c r="T39" s="503"/>
      <c r="U39" s="503"/>
      <c r="V39" s="508"/>
      <c r="W39" s="122">
        <v>20</v>
      </c>
      <c r="AA39" s="281" t="str">
        <f t="shared" si="6"/>
        <v/>
      </c>
      <c r="AB39" s="281" t="str">
        <f t="shared" si="1"/>
        <v/>
      </c>
      <c r="AC39" s="281" t="str">
        <f t="shared" si="2"/>
        <v/>
      </c>
      <c r="AD39" s="281" t="str">
        <f t="shared" si="3"/>
        <v/>
      </c>
      <c r="AE39" s="281" t="str">
        <f t="shared" si="4"/>
        <v/>
      </c>
      <c r="AF39" s="281" t="str">
        <f t="shared" si="5"/>
        <v/>
      </c>
    </row>
    <row r="40" spans="2:32" x14ac:dyDescent="0.2">
      <c r="B40" s="122">
        <f t="shared" si="7"/>
        <v>0</v>
      </c>
      <c r="C40" s="122">
        <v>2016</v>
      </c>
      <c r="D40" s="122">
        <v>49</v>
      </c>
      <c r="E40" s="495"/>
      <c r="F40" s="304"/>
      <c r="G40" s="304"/>
      <c r="H40" s="304"/>
      <c r="I40" s="304"/>
      <c r="J40" s="304"/>
      <c r="K40" s="505"/>
      <c r="L40" s="505"/>
      <c r="M40" s="486"/>
      <c r="N40" s="503"/>
      <c r="O40" s="486"/>
      <c r="P40" s="486"/>
      <c r="Q40" s="486"/>
      <c r="R40" s="486"/>
      <c r="S40" s="304"/>
      <c r="T40" s="503"/>
      <c r="U40" s="503"/>
      <c r="V40" s="508"/>
      <c r="W40" s="122">
        <v>20</v>
      </c>
      <c r="AA40" s="281" t="str">
        <f t="shared" si="6"/>
        <v/>
      </c>
      <c r="AB40" s="281" t="str">
        <f t="shared" si="1"/>
        <v/>
      </c>
      <c r="AC40" s="281" t="str">
        <f t="shared" si="2"/>
        <v/>
      </c>
      <c r="AD40" s="281" t="str">
        <f t="shared" si="3"/>
        <v/>
      </c>
      <c r="AE40" s="281" t="str">
        <f t="shared" si="4"/>
        <v/>
      </c>
      <c r="AF40" s="281" t="str">
        <f t="shared" si="5"/>
        <v/>
      </c>
    </row>
    <row r="41" spans="2:32" x14ac:dyDescent="0.2">
      <c r="B41" s="122">
        <f t="shared" si="7"/>
        <v>0</v>
      </c>
      <c r="C41" s="122">
        <v>2016</v>
      </c>
      <c r="D41" s="122">
        <v>49</v>
      </c>
      <c r="E41" s="495"/>
      <c r="F41" s="304"/>
      <c r="G41" s="304"/>
      <c r="H41" s="304"/>
      <c r="I41" s="304"/>
      <c r="J41" s="304"/>
      <c r="K41" s="505"/>
      <c r="L41" s="505"/>
      <c r="M41" s="486"/>
      <c r="N41" s="503"/>
      <c r="O41" s="486"/>
      <c r="P41" s="486"/>
      <c r="Q41" s="486"/>
      <c r="R41" s="486"/>
      <c r="S41" s="304"/>
      <c r="T41" s="503"/>
      <c r="U41" s="503"/>
      <c r="V41" s="508"/>
      <c r="W41" s="122">
        <v>20</v>
      </c>
      <c r="AA41" s="281" t="str">
        <f t="shared" si="6"/>
        <v/>
      </c>
      <c r="AB41" s="281" t="str">
        <f t="shared" si="1"/>
        <v/>
      </c>
      <c r="AC41" s="281" t="str">
        <f t="shared" si="2"/>
        <v/>
      </c>
      <c r="AD41" s="281" t="str">
        <f t="shared" si="3"/>
        <v/>
      </c>
      <c r="AE41" s="281" t="str">
        <f t="shared" si="4"/>
        <v/>
      </c>
      <c r="AF41" s="281" t="str">
        <f t="shared" si="5"/>
        <v/>
      </c>
    </row>
    <row r="42" spans="2:32" x14ac:dyDescent="0.2">
      <c r="B42" s="122">
        <f t="shared" si="7"/>
        <v>0</v>
      </c>
      <c r="C42" s="122">
        <v>2016</v>
      </c>
      <c r="D42" s="122">
        <v>49</v>
      </c>
      <c r="E42" s="495"/>
      <c r="F42" s="304"/>
      <c r="G42" s="304"/>
      <c r="H42" s="304"/>
      <c r="I42" s="304"/>
      <c r="J42" s="304"/>
      <c r="K42" s="505"/>
      <c r="L42" s="505"/>
      <c r="M42" s="486"/>
      <c r="N42" s="503"/>
      <c r="O42" s="486"/>
      <c r="P42" s="486"/>
      <c r="Q42" s="486"/>
      <c r="R42" s="486"/>
      <c r="S42" s="304"/>
      <c r="T42" s="503"/>
      <c r="U42" s="503"/>
      <c r="V42" s="508"/>
      <c r="W42" s="122">
        <v>20</v>
      </c>
      <c r="AA42" s="281" t="str">
        <f t="shared" si="6"/>
        <v/>
      </c>
      <c r="AB42" s="281" t="str">
        <f t="shared" si="1"/>
        <v/>
      </c>
      <c r="AC42" s="281" t="str">
        <f t="shared" si="2"/>
        <v/>
      </c>
      <c r="AD42" s="281" t="str">
        <f t="shared" si="3"/>
        <v/>
      </c>
      <c r="AE42" s="281" t="str">
        <f t="shared" si="4"/>
        <v/>
      </c>
      <c r="AF42" s="281" t="str">
        <f t="shared" si="5"/>
        <v/>
      </c>
    </row>
    <row r="43" spans="2:32" x14ac:dyDescent="0.2">
      <c r="B43" s="122">
        <f t="shared" si="7"/>
        <v>0</v>
      </c>
      <c r="C43" s="122">
        <v>2016</v>
      </c>
      <c r="D43" s="122">
        <v>49</v>
      </c>
      <c r="E43" s="495"/>
      <c r="F43" s="304"/>
      <c r="G43" s="304"/>
      <c r="H43" s="304"/>
      <c r="I43" s="304"/>
      <c r="J43" s="304"/>
      <c r="K43" s="505"/>
      <c r="L43" s="505"/>
      <c r="M43" s="486"/>
      <c r="N43" s="503"/>
      <c r="O43" s="486"/>
      <c r="P43" s="486"/>
      <c r="Q43" s="486"/>
      <c r="R43" s="486"/>
      <c r="S43" s="304"/>
      <c r="T43" s="503"/>
      <c r="U43" s="503"/>
      <c r="V43" s="508"/>
      <c r="W43" s="122">
        <v>20</v>
      </c>
      <c r="AA43" s="281" t="str">
        <f t="shared" si="6"/>
        <v/>
      </c>
      <c r="AB43" s="281" t="str">
        <f t="shared" si="1"/>
        <v/>
      </c>
      <c r="AC43" s="281" t="str">
        <f t="shared" si="2"/>
        <v/>
      </c>
      <c r="AD43" s="281" t="str">
        <f t="shared" si="3"/>
        <v/>
      </c>
      <c r="AE43" s="281" t="str">
        <f t="shared" si="4"/>
        <v/>
      </c>
      <c r="AF43" s="281" t="str">
        <f t="shared" si="5"/>
        <v/>
      </c>
    </row>
    <row r="44" spans="2:32" x14ac:dyDescent="0.2">
      <c r="B44" s="122">
        <f t="shared" si="7"/>
        <v>0</v>
      </c>
      <c r="C44" s="122">
        <v>2016</v>
      </c>
      <c r="D44" s="122">
        <v>49</v>
      </c>
      <c r="E44" s="495"/>
      <c r="F44" s="304"/>
      <c r="G44" s="304"/>
      <c r="H44" s="304"/>
      <c r="I44" s="304"/>
      <c r="J44" s="304"/>
      <c r="K44" s="505"/>
      <c r="L44" s="505"/>
      <c r="M44" s="486"/>
      <c r="N44" s="503"/>
      <c r="O44" s="486"/>
      <c r="P44" s="486"/>
      <c r="Q44" s="486"/>
      <c r="R44" s="486"/>
      <c r="S44" s="304"/>
      <c r="T44" s="503"/>
      <c r="U44" s="503"/>
      <c r="V44" s="508"/>
      <c r="W44" s="122">
        <v>20</v>
      </c>
      <c r="AA44" s="281" t="str">
        <f t="shared" si="6"/>
        <v/>
      </c>
      <c r="AB44" s="281" t="str">
        <f t="shared" si="1"/>
        <v/>
      </c>
      <c r="AC44" s="281" t="str">
        <f t="shared" si="2"/>
        <v/>
      </c>
      <c r="AD44" s="281" t="str">
        <f t="shared" si="3"/>
        <v/>
      </c>
      <c r="AE44" s="281" t="str">
        <f t="shared" si="4"/>
        <v/>
      </c>
      <c r="AF44" s="281" t="str">
        <f t="shared" si="5"/>
        <v/>
      </c>
    </row>
    <row r="45" spans="2:32" x14ac:dyDescent="0.2">
      <c r="B45" s="122">
        <f t="shared" si="7"/>
        <v>0</v>
      </c>
      <c r="C45" s="122">
        <v>2016</v>
      </c>
      <c r="D45" s="122">
        <v>49</v>
      </c>
      <c r="E45" s="495"/>
      <c r="F45" s="304"/>
      <c r="G45" s="304"/>
      <c r="H45" s="304"/>
      <c r="I45" s="304"/>
      <c r="J45" s="304"/>
      <c r="K45" s="505"/>
      <c r="L45" s="505"/>
      <c r="M45" s="486"/>
      <c r="N45" s="503"/>
      <c r="O45" s="486"/>
      <c r="P45" s="486"/>
      <c r="Q45" s="486"/>
      <c r="R45" s="486"/>
      <c r="S45" s="304"/>
      <c r="T45" s="503"/>
      <c r="U45" s="503"/>
      <c r="V45" s="508"/>
      <c r="W45" s="122">
        <v>20</v>
      </c>
      <c r="AA45" s="281" t="str">
        <f t="shared" si="6"/>
        <v/>
      </c>
      <c r="AB45" s="281" t="str">
        <f t="shared" si="1"/>
        <v/>
      </c>
      <c r="AC45" s="281" t="str">
        <f t="shared" si="2"/>
        <v/>
      </c>
      <c r="AD45" s="281" t="str">
        <f t="shared" si="3"/>
        <v/>
      </c>
      <c r="AE45" s="281" t="str">
        <f t="shared" si="4"/>
        <v/>
      </c>
      <c r="AF45" s="281" t="str">
        <f t="shared" si="5"/>
        <v/>
      </c>
    </row>
    <row r="46" spans="2:32" x14ac:dyDescent="0.2">
      <c r="B46" s="122">
        <f t="shared" si="7"/>
        <v>0</v>
      </c>
      <c r="C46" s="122">
        <v>2016</v>
      </c>
      <c r="D46" s="122">
        <v>49</v>
      </c>
      <c r="E46" s="495"/>
      <c r="F46" s="304"/>
      <c r="G46" s="304"/>
      <c r="H46" s="304"/>
      <c r="I46" s="304"/>
      <c r="J46" s="304"/>
      <c r="K46" s="505"/>
      <c r="L46" s="505"/>
      <c r="M46" s="486"/>
      <c r="N46" s="503"/>
      <c r="O46" s="486"/>
      <c r="P46" s="486"/>
      <c r="Q46" s="486"/>
      <c r="R46" s="486"/>
      <c r="S46" s="304"/>
      <c r="T46" s="503"/>
      <c r="U46" s="503"/>
      <c r="V46" s="508"/>
      <c r="W46" s="122">
        <v>20</v>
      </c>
      <c r="AA46" s="281" t="str">
        <f t="shared" si="6"/>
        <v/>
      </c>
      <c r="AB46" s="281" t="str">
        <f t="shared" si="1"/>
        <v/>
      </c>
      <c r="AC46" s="281" t="str">
        <f t="shared" si="2"/>
        <v/>
      </c>
      <c r="AD46" s="281" t="str">
        <f t="shared" si="3"/>
        <v/>
      </c>
      <c r="AE46" s="281" t="str">
        <f t="shared" si="4"/>
        <v/>
      </c>
      <c r="AF46" s="281" t="str">
        <f t="shared" si="5"/>
        <v/>
      </c>
    </row>
    <row r="47" spans="2:32" x14ac:dyDescent="0.2">
      <c r="B47" s="122">
        <f t="shared" si="7"/>
        <v>0</v>
      </c>
      <c r="C47" s="122">
        <v>2016</v>
      </c>
      <c r="D47" s="122">
        <v>49</v>
      </c>
      <c r="E47" s="495"/>
      <c r="F47" s="304"/>
      <c r="G47" s="304"/>
      <c r="H47" s="304"/>
      <c r="I47" s="304"/>
      <c r="J47" s="304"/>
      <c r="K47" s="505"/>
      <c r="L47" s="505"/>
      <c r="M47" s="486"/>
      <c r="N47" s="503"/>
      <c r="O47" s="486"/>
      <c r="P47" s="486"/>
      <c r="Q47" s="486"/>
      <c r="R47" s="486"/>
      <c r="S47" s="304"/>
      <c r="T47" s="503"/>
      <c r="U47" s="503"/>
      <c r="V47" s="508"/>
      <c r="W47" s="122">
        <v>20</v>
      </c>
      <c r="AA47" s="281" t="str">
        <f t="shared" si="6"/>
        <v/>
      </c>
      <c r="AB47" s="281" t="str">
        <f t="shared" si="1"/>
        <v/>
      </c>
      <c r="AC47" s="281" t="str">
        <f t="shared" si="2"/>
        <v/>
      </c>
      <c r="AD47" s="281" t="str">
        <f t="shared" si="3"/>
        <v/>
      </c>
      <c r="AE47" s="281" t="str">
        <f t="shared" si="4"/>
        <v/>
      </c>
      <c r="AF47" s="281" t="str">
        <f t="shared" si="5"/>
        <v/>
      </c>
    </row>
    <row r="48" spans="2:32" ht="13.5" thickBot="1" x14ac:dyDescent="0.25">
      <c r="B48" s="122">
        <f t="shared" si="7"/>
        <v>0</v>
      </c>
      <c r="C48" s="122">
        <v>2016</v>
      </c>
      <c r="D48" s="122">
        <v>49</v>
      </c>
      <c r="E48" s="496"/>
      <c r="F48" s="248"/>
      <c r="G48" s="248"/>
      <c r="H48" s="248"/>
      <c r="I48" s="248"/>
      <c r="J48" s="248"/>
      <c r="K48" s="507"/>
      <c r="L48" s="507"/>
      <c r="M48" s="487"/>
      <c r="N48" s="504"/>
      <c r="O48" s="487"/>
      <c r="P48" s="487"/>
      <c r="Q48" s="487"/>
      <c r="R48" s="487"/>
      <c r="S48" s="248"/>
      <c r="T48" s="504"/>
      <c r="U48" s="504"/>
      <c r="V48" s="509"/>
      <c r="W48" s="122">
        <v>20</v>
      </c>
      <c r="AA48" s="281" t="str">
        <f t="shared" si="6"/>
        <v/>
      </c>
      <c r="AB48" s="281" t="str">
        <f t="shared" si="1"/>
        <v/>
      </c>
      <c r="AC48" s="281" t="str">
        <f t="shared" si="2"/>
        <v/>
      </c>
      <c r="AD48" s="281" t="str">
        <f t="shared" si="3"/>
        <v/>
      </c>
      <c r="AE48" s="281" t="str">
        <f t="shared" si="4"/>
        <v/>
      </c>
      <c r="AF48" s="281" t="str">
        <f t="shared" si="5"/>
        <v/>
      </c>
    </row>
    <row r="49" spans="1:32" ht="3" customHeight="1" x14ac:dyDescent="0.2">
      <c r="A49" s="1090" t="s">
        <v>757</v>
      </c>
      <c r="B49" s="1090"/>
      <c r="C49" s="1090"/>
      <c r="D49" s="1090"/>
      <c r="E49" s="1090"/>
      <c r="F49" s="1090"/>
      <c r="G49" s="1090"/>
      <c r="H49" s="1090"/>
      <c r="I49" s="1090"/>
      <c r="J49" s="1090"/>
      <c r="K49" s="1090"/>
      <c r="L49" s="1090"/>
      <c r="M49" s="1090"/>
      <c r="N49" s="1090"/>
      <c r="O49" s="1090"/>
      <c r="P49" s="1090"/>
      <c r="Q49" s="1090"/>
      <c r="R49" s="1090"/>
      <c r="S49" s="1090"/>
      <c r="T49" s="1090"/>
      <c r="U49" s="1090"/>
      <c r="V49" s="1090"/>
      <c r="AA49" s="281" t="str">
        <f>IF(NOT(ISBLANK(E49)),L49,"")</f>
        <v/>
      </c>
      <c r="AB49" s="281" t="str">
        <f t="shared" si="1"/>
        <v/>
      </c>
      <c r="AC49" s="281" t="str">
        <f t="shared" si="2"/>
        <v/>
      </c>
      <c r="AD49" s="281" t="str">
        <f t="shared" si="3"/>
        <v/>
      </c>
      <c r="AE49" s="281" t="str">
        <f t="shared" si="4"/>
        <v/>
      </c>
      <c r="AF49" s="281" t="str">
        <f t="shared" si="5"/>
        <v/>
      </c>
    </row>
    <row r="50" spans="1:32" hidden="1" x14ac:dyDescent="0.2">
      <c r="AA50" s="281" t="str">
        <f t="shared" si="6"/>
        <v/>
      </c>
      <c r="AB50" s="281" t="str">
        <f t="shared" si="1"/>
        <v/>
      </c>
      <c r="AC50" s="281" t="str">
        <f t="shared" si="2"/>
        <v/>
      </c>
      <c r="AD50" s="281" t="str">
        <f t="shared" si="3"/>
        <v/>
      </c>
      <c r="AE50" s="281" t="str">
        <f t="shared" si="4"/>
        <v/>
      </c>
      <c r="AF50" s="281" t="str">
        <f t="shared" si="5"/>
        <v/>
      </c>
    </row>
    <row r="51" spans="1:32" hidden="1" x14ac:dyDescent="0.2">
      <c r="AA51" s="281" t="str">
        <f t="shared" si="6"/>
        <v/>
      </c>
      <c r="AB51" s="281" t="str">
        <f t="shared" si="1"/>
        <v/>
      </c>
      <c r="AC51" s="281" t="str">
        <f t="shared" si="2"/>
        <v/>
      </c>
      <c r="AD51" s="281" t="str">
        <f t="shared" si="3"/>
        <v/>
      </c>
      <c r="AE51" s="281" t="str">
        <f t="shared" si="4"/>
        <v/>
      </c>
      <c r="AF51" s="281" t="str">
        <f t="shared" si="5"/>
        <v/>
      </c>
    </row>
    <row r="52" spans="1:32" hidden="1" x14ac:dyDescent="0.2">
      <c r="AA52" s="281" t="str">
        <f t="shared" si="6"/>
        <v/>
      </c>
      <c r="AB52" s="281" t="str">
        <f t="shared" si="1"/>
        <v/>
      </c>
      <c r="AC52" s="281" t="str">
        <f t="shared" si="2"/>
        <v/>
      </c>
      <c r="AD52" s="281" t="str">
        <f t="shared" si="3"/>
        <v/>
      </c>
      <c r="AE52" s="281" t="str">
        <f t="shared" si="4"/>
        <v/>
      </c>
      <c r="AF52" s="281" t="str">
        <f t="shared" si="5"/>
        <v/>
      </c>
    </row>
    <row r="53" spans="1:32" hidden="1" x14ac:dyDescent="0.2">
      <c r="AA53" s="281" t="str">
        <f t="shared" si="6"/>
        <v/>
      </c>
      <c r="AB53" s="281" t="str">
        <f t="shared" si="1"/>
        <v/>
      </c>
      <c r="AC53" s="281" t="str">
        <f t="shared" si="2"/>
        <v/>
      </c>
      <c r="AD53" s="281" t="str">
        <f t="shared" si="3"/>
        <v/>
      </c>
      <c r="AE53" s="281" t="str">
        <f t="shared" si="4"/>
        <v/>
      </c>
      <c r="AF53" s="281" t="str">
        <f t="shared" si="5"/>
        <v/>
      </c>
    </row>
    <row r="54" spans="1:32" hidden="1" x14ac:dyDescent="0.2">
      <c r="AA54" s="281" t="str">
        <f t="shared" si="6"/>
        <v/>
      </c>
      <c r="AB54" s="281" t="str">
        <f t="shared" si="1"/>
        <v/>
      </c>
      <c r="AC54" s="281" t="str">
        <f t="shared" si="2"/>
        <v/>
      </c>
      <c r="AD54" s="281" t="str">
        <f t="shared" si="3"/>
        <v/>
      </c>
      <c r="AE54" s="281" t="str">
        <f t="shared" si="4"/>
        <v/>
      </c>
      <c r="AF54" s="281" t="str">
        <f t="shared" si="5"/>
        <v/>
      </c>
    </row>
    <row r="55" spans="1:32" hidden="1" x14ac:dyDescent="0.2">
      <c r="AA55" s="281" t="str">
        <f t="shared" si="6"/>
        <v/>
      </c>
      <c r="AB55" s="281" t="str">
        <f t="shared" si="1"/>
        <v/>
      </c>
      <c r="AC55" s="281" t="str">
        <f t="shared" si="2"/>
        <v/>
      </c>
      <c r="AD55" s="281" t="str">
        <f t="shared" si="3"/>
        <v/>
      </c>
      <c r="AE55" s="281" t="str">
        <f t="shared" si="4"/>
        <v/>
      </c>
      <c r="AF55" s="281" t="str">
        <f t="shared" si="5"/>
        <v/>
      </c>
    </row>
    <row r="56" spans="1:32" hidden="1" x14ac:dyDescent="0.2">
      <c r="AA56" s="281" t="str">
        <f t="shared" si="6"/>
        <v/>
      </c>
      <c r="AB56" s="281" t="str">
        <f t="shared" si="1"/>
        <v/>
      </c>
      <c r="AC56" s="281" t="str">
        <f t="shared" si="2"/>
        <v/>
      </c>
      <c r="AD56" s="281" t="str">
        <f t="shared" si="3"/>
        <v/>
      </c>
      <c r="AE56" s="281" t="str">
        <f t="shared" si="4"/>
        <v/>
      </c>
      <c r="AF56" s="281" t="str">
        <f t="shared" si="5"/>
        <v/>
      </c>
    </row>
    <row r="57" spans="1:32" hidden="1" x14ac:dyDescent="0.2">
      <c r="AA57" s="281" t="str">
        <f t="shared" si="6"/>
        <v/>
      </c>
      <c r="AB57" s="281" t="str">
        <f t="shared" si="1"/>
        <v/>
      </c>
      <c r="AC57" s="281" t="str">
        <f t="shared" si="2"/>
        <v/>
      </c>
      <c r="AD57" s="281" t="str">
        <f t="shared" si="3"/>
        <v/>
      </c>
      <c r="AE57" s="281" t="str">
        <f t="shared" si="4"/>
        <v/>
      </c>
      <c r="AF57" s="281" t="str">
        <f t="shared" si="5"/>
        <v/>
      </c>
    </row>
    <row r="58" spans="1:32" hidden="1" x14ac:dyDescent="0.2">
      <c r="AA58" s="281" t="str">
        <f t="shared" si="6"/>
        <v/>
      </c>
      <c r="AB58" s="281" t="str">
        <f t="shared" si="1"/>
        <v/>
      </c>
      <c r="AC58" s="281" t="str">
        <f t="shared" si="2"/>
        <v/>
      </c>
      <c r="AD58" s="281" t="str">
        <f t="shared" si="3"/>
        <v/>
      </c>
      <c r="AE58" s="281" t="str">
        <f t="shared" si="4"/>
        <v/>
      </c>
      <c r="AF58" s="281" t="str">
        <f t="shared" si="5"/>
        <v/>
      </c>
    </row>
    <row r="59" spans="1:32" hidden="1" x14ac:dyDescent="0.2">
      <c r="AA59" s="281" t="str">
        <f t="shared" si="6"/>
        <v/>
      </c>
      <c r="AB59" s="281" t="str">
        <f t="shared" si="1"/>
        <v/>
      </c>
      <c r="AC59" s="281" t="str">
        <f t="shared" si="2"/>
        <v/>
      </c>
      <c r="AD59" s="281" t="str">
        <f t="shared" si="3"/>
        <v/>
      </c>
      <c r="AE59" s="281" t="str">
        <f t="shared" si="4"/>
        <v/>
      </c>
      <c r="AF59" s="281" t="str">
        <f t="shared" si="5"/>
        <v/>
      </c>
    </row>
    <row r="60" spans="1:32" hidden="1" x14ac:dyDescent="0.2">
      <c r="AA60" s="281" t="str">
        <f t="shared" si="6"/>
        <v/>
      </c>
      <c r="AB60" s="281" t="str">
        <f t="shared" si="1"/>
        <v/>
      </c>
      <c r="AC60" s="281" t="str">
        <f t="shared" si="2"/>
        <v/>
      </c>
      <c r="AD60" s="281" t="str">
        <f t="shared" si="3"/>
        <v/>
      </c>
      <c r="AE60" s="281" t="str">
        <f t="shared" si="4"/>
        <v/>
      </c>
      <c r="AF60" s="281" t="str">
        <f t="shared" si="5"/>
        <v/>
      </c>
    </row>
    <row r="61" spans="1:32" hidden="1" x14ac:dyDescent="0.2">
      <c r="AA61" s="281" t="str">
        <f t="shared" si="6"/>
        <v/>
      </c>
      <c r="AB61" s="281" t="str">
        <f t="shared" si="1"/>
        <v/>
      </c>
      <c r="AC61" s="281" t="str">
        <f t="shared" si="2"/>
        <v/>
      </c>
      <c r="AD61" s="281" t="str">
        <f t="shared" si="3"/>
        <v/>
      </c>
      <c r="AE61" s="281" t="str">
        <f t="shared" si="4"/>
        <v/>
      </c>
      <c r="AF61" s="281" t="str">
        <f t="shared" si="5"/>
        <v/>
      </c>
    </row>
    <row r="62" spans="1:32" hidden="1" x14ac:dyDescent="0.2">
      <c r="AA62" s="281" t="str">
        <f t="shared" si="6"/>
        <v/>
      </c>
      <c r="AB62" s="281" t="str">
        <f t="shared" si="1"/>
        <v/>
      </c>
      <c r="AC62" s="281" t="str">
        <f t="shared" si="2"/>
        <v/>
      </c>
      <c r="AD62" s="281" t="str">
        <f t="shared" si="3"/>
        <v/>
      </c>
      <c r="AE62" s="281" t="str">
        <f t="shared" si="4"/>
        <v/>
      </c>
      <c r="AF62" s="281" t="str">
        <f t="shared" si="5"/>
        <v/>
      </c>
    </row>
    <row r="63" spans="1:32" hidden="1" x14ac:dyDescent="0.2">
      <c r="AA63" s="281" t="str">
        <f t="shared" si="6"/>
        <v/>
      </c>
      <c r="AB63" s="281" t="str">
        <f t="shared" si="1"/>
        <v/>
      </c>
      <c r="AC63" s="281" t="str">
        <f t="shared" si="2"/>
        <v/>
      </c>
      <c r="AD63" s="281" t="str">
        <f t="shared" si="3"/>
        <v/>
      </c>
      <c r="AE63" s="281" t="str">
        <f t="shared" si="4"/>
        <v/>
      </c>
      <c r="AF63" s="281" t="str">
        <f t="shared" si="5"/>
        <v/>
      </c>
    </row>
    <row r="64" spans="1:32" hidden="1" x14ac:dyDescent="0.2">
      <c r="AA64" s="281" t="str">
        <f t="shared" si="6"/>
        <v/>
      </c>
      <c r="AB64" s="281" t="str">
        <f t="shared" si="1"/>
        <v/>
      </c>
      <c r="AC64" s="281" t="str">
        <f t="shared" si="2"/>
        <v/>
      </c>
      <c r="AD64" s="281" t="str">
        <f t="shared" si="3"/>
        <v/>
      </c>
      <c r="AE64" s="281" t="str">
        <f t="shared" si="4"/>
        <v/>
      </c>
      <c r="AF64" s="281" t="str">
        <f t="shared" si="5"/>
        <v/>
      </c>
    </row>
    <row r="65" spans="27:32" hidden="1" x14ac:dyDescent="0.2">
      <c r="AA65" s="281" t="str">
        <f t="shared" si="6"/>
        <v/>
      </c>
      <c r="AB65" s="281" t="str">
        <f t="shared" si="1"/>
        <v/>
      </c>
      <c r="AC65" s="281" t="str">
        <f t="shared" si="2"/>
        <v/>
      </c>
      <c r="AD65" s="281" t="str">
        <f t="shared" si="3"/>
        <v/>
      </c>
      <c r="AE65" s="281" t="str">
        <f t="shared" si="4"/>
        <v/>
      </c>
      <c r="AF65" s="281" t="str">
        <f t="shared" si="5"/>
        <v/>
      </c>
    </row>
    <row r="66" spans="27:32" hidden="1" x14ac:dyDescent="0.2">
      <c r="AA66" s="281" t="str">
        <f t="shared" si="6"/>
        <v/>
      </c>
      <c r="AB66" s="281" t="str">
        <f t="shared" si="1"/>
        <v/>
      </c>
      <c r="AC66" s="281" t="str">
        <f t="shared" si="2"/>
        <v/>
      </c>
      <c r="AD66" s="281" t="str">
        <f t="shared" si="3"/>
        <v/>
      </c>
      <c r="AE66" s="281" t="str">
        <f t="shared" si="4"/>
        <v/>
      </c>
      <c r="AF66" s="281" t="str">
        <f t="shared" si="5"/>
        <v/>
      </c>
    </row>
    <row r="67" spans="27:32" hidden="1" x14ac:dyDescent="0.2">
      <c r="AA67" s="281" t="str">
        <f t="shared" si="6"/>
        <v/>
      </c>
      <c r="AB67" s="281" t="str">
        <f t="shared" si="1"/>
        <v/>
      </c>
      <c r="AC67" s="281" t="str">
        <f t="shared" si="2"/>
        <v/>
      </c>
      <c r="AD67" s="281" t="str">
        <f t="shared" si="3"/>
        <v/>
      </c>
      <c r="AE67" s="281" t="str">
        <f t="shared" si="4"/>
        <v/>
      </c>
      <c r="AF67" s="281" t="str">
        <f t="shared" si="5"/>
        <v/>
      </c>
    </row>
    <row r="68" spans="27:32" hidden="1" x14ac:dyDescent="0.2">
      <c r="AA68" s="281" t="str">
        <f t="shared" si="6"/>
        <v/>
      </c>
      <c r="AB68" s="281" t="str">
        <f t="shared" si="1"/>
        <v/>
      </c>
      <c r="AC68" s="281" t="str">
        <f t="shared" si="2"/>
        <v/>
      </c>
      <c r="AD68" s="281" t="str">
        <f t="shared" si="3"/>
        <v/>
      </c>
      <c r="AE68" s="281" t="str">
        <f t="shared" si="4"/>
        <v/>
      </c>
      <c r="AF68" s="281" t="str">
        <f t="shared" si="5"/>
        <v/>
      </c>
    </row>
    <row r="69" spans="27:32" hidden="1" x14ac:dyDescent="0.2">
      <c r="AA69" s="281" t="str">
        <f t="shared" si="6"/>
        <v/>
      </c>
      <c r="AB69" s="281" t="str">
        <f t="shared" si="1"/>
        <v/>
      </c>
      <c r="AC69" s="281" t="str">
        <f t="shared" si="2"/>
        <v/>
      </c>
      <c r="AD69" s="281" t="str">
        <f t="shared" si="3"/>
        <v/>
      </c>
      <c r="AE69" s="281" t="str">
        <f t="shared" si="4"/>
        <v/>
      </c>
      <c r="AF69" s="281" t="str">
        <f t="shared" si="5"/>
        <v/>
      </c>
    </row>
    <row r="70" spans="27:32" hidden="1" x14ac:dyDescent="0.2">
      <c r="AA70" s="281" t="str">
        <f t="shared" si="6"/>
        <v/>
      </c>
      <c r="AB70" s="281" t="str">
        <f t="shared" si="1"/>
        <v/>
      </c>
      <c r="AC70" s="281" t="str">
        <f t="shared" si="2"/>
        <v/>
      </c>
      <c r="AD70" s="281" t="str">
        <f t="shared" si="3"/>
        <v/>
      </c>
      <c r="AE70" s="281" t="str">
        <f t="shared" si="4"/>
        <v/>
      </c>
      <c r="AF70" s="281" t="str">
        <f t="shared" si="5"/>
        <v/>
      </c>
    </row>
    <row r="71" spans="27:32" hidden="1" x14ac:dyDescent="0.2">
      <c r="AA71" s="281" t="str">
        <f t="shared" si="6"/>
        <v/>
      </c>
      <c r="AB71" s="281" t="str">
        <f t="shared" ref="AB71:AB134" si="8">IF(NOT(ISBLANK(F71)),L71,"")</f>
        <v/>
      </c>
      <c r="AC71" s="281" t="str">
        <f t="shared" ref="AC71:AC134" si="9">IF(NOT(ISBLANK(G71)),L71,"")</f>
        <v/>
      </c>
      <c r="AD71" s="281" t="str">
        <f t="shared" ref="AD71:AD134" si="10">IF(NOT(ISBLANK(H71)),L71,"")</f>
        <v/>
      </c>
      <c r="AE71" s="281" t="str">
        <f t="shared" ref="AE71:AE134" si="11">IF(NOT(ISBLANK(I71)),L71,"")</f>
        <v/>
      </c>
      <c r="AF71" s="281" t="str">
        <f t="shared" ref="AF71:AF134" si="12">IF(NOT(ISBLANK(J71)),L71,"")</f>
        <v/>
      </c>
    </row>
    <row r="72" spans="27:32" hidden="1" x14ac:dyDescent="0.2">
      <c r="AA72" s="281" t="str">
        <f t="shared" ref="AA72:AA135" si="13">IF(NOT(ISBLANK(E72)),L72,"")</f>
        <v/>
      </c>
      <c r="AB72" s="281" t="str">
        <f t="shared" si="8"/>
        <v/>
      </c>
      <c r="AC72" s="281" t="str">
        <f t="shared" si="9"/>
        <v/>
      </c>
      <c r="AD72" s="281" t="str">
        <f t="shared" si="10"/>
        <v/>
      </c>
      <c r="AE72" s="281" t="str">
        <f t="shared" si="11"/>
        <v/>
      </c>
      <c r="AF72" s="281" t="str">
        <f t="shared" si="12"/>
        <v/>
      </c>
    </row>
    <row r="73" spans="27:32" hidden="1" x14ac:dyDescent="0.2">
      <c r="AA73" s="281" t="str">
        <f t="shared" si="13"/>
        <v/>
      </c>
      <c r="AB73" s="281" t="str">
        <f t="shared" si="8"/>
        <v/>
      </c>
      <c r="AC73" s="281" t="str">
        <f t="shared" si="9"/>
        <v/>
      </c>
      <c r="AD73" s="281" t="str">
        <f t="shared" si="10"/>
        <v/>
      </c>
      <c r="AE73" s="281" t="str">
        <f t="shared" si="11"/>
        <v/>
      </c>
      <c r="AF73" s="281" t="str">
        <f t="shared" si="12"/>
        <v/>
      </c>
    </row>
    <row r="74" spans="27:32" hidden="1" x14ac:dyDescent="0.2">
      <c r="AA74" s="281" t="str">
        <f t="shared" si="13"/>
        <v/>
      </c>
      <c r="AB74" s="281" t="str">
        <f t="shared" si="8"/>
        <v/>
      </c>
      <c r="AC74" s="281" t="str">
        <f t="shared" si="9"/>
        <v/>
      </c>
      <c r="AD74" s="281" t="str">
        <f t="shared" si="10"/>
        <v/>
      </c>
      <c r="AE74" s="281" t="str">
        <f t="shared" si="11"/>
        <v/>
      </c>
      <c r="AF74" s="281" t="str">
        <f t="shared" si="12"/>
        <v/>
      </c>
    </row>
    <row r="75" spans="27:32" hidden="1" x14ac:dyDescent="0.2">
      <c r="AA75" s="281" t="str">
        <f t="shared" si="13"/>
        <v/>
      </c>
      <c r="AB75" s="281" t="str">
        <f t="shared" si="8"/>
        <v/>
      </c>
      <c r="AC75" s="281" t="str">
        <f t="shared" si="9"/>
        <v/>
      </c>
      <c r="AD75" s="281" t="str">
        <f t="shared" si="10"/>
        <v/>
      </c>
      <c r="AE75" s="281" t="str">
        <f t="shared" si="11"/>
        <v/>
      </c>
      <c r="AF75" s="281" t="str">
        <f t="shared" si="12"/>
        <v/>
      </c>
    </row>
    <row r="76" spans="27:32" hidden="1" x14ac:dyDescent="0.2">
      <c r="AA76" s="281" t="str">
        <f t="shared" si="13"/>
        <v/>
      </c>
      <c r="AB76" s="281" t="str">
        <f t="shared" si="8"/>
        <v/>
      </c>
      <c r="AC76" s="281" t="str">
        <f t="shared" si="9"/>
        <v/>
      </c>
      <c r="AD76" s="281" t="str">
        <f t="shared" si="10"/>
        <v/>
      </c>
      <c r="AE76" s="281" t="str">
        <f t="shared" si="11"/>
        <v/>
      </c>
      <c r="AF76" s="281" t="str">
        <f t="shared" si="12"/>
        <v/>
      </c>
    </row>
    <row r="77" spans="27:32" hidden="1" x14ac:dyDescent="0.2">
      <c r="AA77" s="281" t="str">
        <f t="shared" si="13"/>
        <v/>
      </c>
      <c r="AB77" s="281" t="str">
        <f t="shared" si="8"/>
        <v/>
      </c>
      <c r="AC77" s="281" t="str">
        <f t="shared" si="9"/>
        <v/>
      </c>
      <c r="AD77" s="281" t="str">
        <f t="shared" si="10"/>
        <v/>
      </c>
      <c r="AE77" s="281" t="str">
        <f t="shared" si="11"/>
        <v/>
      </c>
      <c r="AF77" s="281" t="str">
        <f t="shared" si="12"/>
        <v/>
      </c>
    </row>
    <row r="78" spans="27:32" hidden="1" x14ac:dyDescent="0.2">
      <c r="AA78" s="281" t="str">
        <f t="shared" si="13"/>
        <v/>
      </c>
      <c r="AB78" s="281" t="str">
        <f t="shared" si="8"/>
        <v/>
      </c>
      <c r="AC78" s="281" t="str">
        <f t="shared" si="9"/>
        <v/>
      </c>
      <c r="AD78" s="281" t="str">
        <f t="shared" si="10"/>
        <v/>
      </c>
      <c r="AE78" s="281" t="str">
        <f t="shared" si="11"/>
        <v/>
      </c>
      <c r="AF78" s="281" t="str">
        <f t="shared" si="12"/>
        <v/>
      </c>
    </row>
    <row r="79" spans="27:32" hidden="1" x14ac:dyDescent="0.2">
      <c r="AA79" s="281" t="str">
        <f t="shared" si="13"/>
        <v/>
      </c>
      <c r="AB79" s="281" t="str">
        <f t="shared" si="8"/>
        <v/>
      </c>
      <c r="AC79" s="281" t="str">
        <f t="shared" si="9"/>
        <v/>
      </c>
      <c r="AD79" s="281" t="str">
        <f t="shared" si="10"/>
        <v/>
      </c>
      <c r="AE79" s="281" t="str">
        <f t="shared" si="11"/>
        <v/>
      </c>
      <c r="AF79" s="281" t="str">
        <f t="shared" si="12"/>
        <v/>
      </c>
    </row>
    <row r="80" spans="27:32" hidden="1" x14ac:dyDescent="0.2">
      <c r="AA80" s="281" t="str">
        <f t="shared" si="13"/>
        <v/>
      </c>
      <c r="AB80" s="281" t="str">
        <f t="shared" si="8"/>
        <v/>
      </c>
      <c r="AC80" s="281" t="str">
        <f t="shared" si="9"/>
        <v/>
      </c>
      <c r="AD80" s="281" t="str">
        <f t="shared" si="10"/>
        <v/>
      </c>
      <c r="AE80" s="281" t="str">
        <f t="shared" si="11"/>
        <v/>
      </c>
      <c r="AF80" s="281" t="str">
        <f t="shared" si="12"/>
        <v/>
      </c>
    </row>
    <row r="81" spans="27:32" hidden="1" x14ac:dyDescent="0.2">
      <c r="AA81" s="281" t="str">
        <f t="shared" si="13"/>
        <v/>
      </c>
      <c r="AB81" s="281" t="str">
        <f t="shared" si="8"/>
        <v/>
      </c>
      <c r="AC81" s="281" t="str">
        <f t="shared" si="9"/>
        <v/>
      </c>
      <c r="AD81" s="281" t="str">
        <f t="shared" si="10"/>
        <v/>
      </c>
      <c r="AE81" s="281" t="str">
        <f t="shared" si="11"/>
        <v/>
      </c>
      <c r="AF81" s="281" t="str">
        <f t="shared" si="12"/>
        <v/>
      </c>
    </row>
    <row r="82" spans="27:32" hidden="1" x14ac:dyDescent="0.2">
      <c r="AA82" s="281" t="str">
        <f t="shared" si="13"/>
        <v/>
      </c>
      <c r="AB82" s="281" t="str">
        <f t="shared" si="8"/>
        <v/>
      </c>
      <c r="AC82" s="281" t="str">
        <f t="shared" si="9"/>
        <v/>
      </c>
      <c r="AD82" s="281" t="str">
        <f t="shared" si="10"/>
        <v/>
      </c>
      <c r="AE82" s="281" t="str">
        <f t="shared" si="11"/>
        <v/>
      </c>
      <c r="AF82" s="281" t="str">
        <f t="shared" si="12"/>
        <v/>
      </c>
    </row>
    <row r="83" spans="27:32" hidden="1" x14ac:dyDescent="0.2">
      <c r="AA83" s="281" t="str">
        <f t="shared" si="13"/>
        <v/>
      </c>
      <c r="AB83" s="281" t="str">
        <f t="shared" si="8"/>
        <v/>
      </c>
      <c r="AC83" s="281" t="str">
        <f t="shared" si="9"/>
        <v/>
      </c>
      <c r="AD83" s="281" t="str">
        <f t="shared" si="10"/>
        <v/>
      </c>
      <c r="AE83" s="281" t="str">
        <f t="shared" si="11"/>
        <v/>
      </c>
      <c r="AF83" s="281" t="str">
        <f t="shared" si="12"/>
        <v/>
      </c>
    </row>
    <row r="84" spans="27:32" hidden="1" x14ac:dyDescent="0.2">
      <c r="AA84" s="281" t="str">
        <f t="shared" si="13"/>
        <v/>
      </c>
      <c r="AB84" s="281" t="str">
        <f t="shared" si="8"/>
        <v/>
      </c>
      <c r="AC84" s="281" t="str">
        <f t="shared" si="9"/>
        <v/>
      </c>
      <c r="AD84" s="281" t="str">
        <f t="shared" si="10"/>
        <v/>
      </c>
      <c r="AE84" s="281" t="str">
        <f t="shared" si="11"/>
        <v/>
      </c>
      <c r="AF84" s="281" t="str">
        <f t="shared" si="12"/>
        <v/>
      </c>
    </row>
    <row r="85" spans="27:32" hidden="1" x14ac:dyDescent="0.2">
      <c r="AA85" s="281" t="str">
        <f t="shared" si="13"/>
        <v/>
      </c>
      <c r="AB85" s="281" t="str">
        <f t="shared" si="8"/>
        <v/>
      </c>
      <c r="AC85" s="281" t="str">
        <f t="shared" si="9"/>
        <v/>
      </c>
      <c r="AD85" s="281" t="str">
        <f t="shared" si="10"/>
        <v/>
      </c>
      <c r="AE85" s="281" t="str">
        <f t="shared" si="11"/>
        <v/>
      </c>
      <c r="AF85" s="281" t="str">
        <f t="shared" si="12"/>
        <v/>
      </c>
    </row>
    <row r="86" spans="27:32" hidden="1" x14ac:dyDescent="0.2">
      <c r="AA86" s="281" t="str">
        <f t="shared" si="13"/>
        <v/>
      </c>
      <c r="AB86" s="281" t="str">
        <f t="shared" si="8"/>
        <v/>
      </c>
      <c r="AC86" s="281" t="str">
        <f t="shared" si="9"/>
        <v/>
      </c>
      <c r="AD86" s="281" t="str">
        <f t="shared" si="10"/>
        <v/>
      </c>
      <c r="AE86" s="281" t="str">
        <f t="shared" si="11"/>
        <v/>
      </c>
      <c r="AF86" s="281" t="str">
        <f t="shared" si="12"/>
        <v/>
      </c>
    </row>
    <row r="87" spans="27:32" hidden="1" x14ac:dyDescent="0.2">
      <c r="AA87" s="281" t="str">
        <f t="shared" si="13"/>
        <v/>
      </c>
      <c r="AB87" s="281" t="str">
        <f t="shared" si="8"/>
        <v/>
      </c>
      <c r="AC87" s="281" t="str">
        <f t="shared" si="9"/>
        <v/>
      </c>
      <c r="AD87" s="281" t="str">
        <f t="shared" si="10"/>
        <v/>
      </c>
      <c r="AE87" s="281" t="str">
        <f t="shared" si="11"/>
        <v/>
      </c>
      <c r="AF87" s="281" t="str">
        <f t="shared" si="12"/>
        <v/>
      </c>
    </row>
    <row r="88" spans="27:32" hidden="1" x14ac:dyDescent="0.2">
      <c r="AA88" s="281" t="str">
        <f t="shared" si="13"/>
        <v/>
      </c>
      <c r="AB88" s="281" t="str">
        <f t="shared" si="8"/>
        <v/>
      </c>
      <c r="AC88" s="281" t="str">
        <f t="shared" si="9"/>
        <v/>
      </c>
      <c r="AD88" s="281" t="str">
        <f t="shared" si="10"/>
        <v/>
      </c>
      <c r="AE88" s="281" t="str">
        <f t="shared" si="11"/>
        <v/>
      </c>
      <c r="AF88" s="281" t="str">
        <f t="shared" si="12"/>
        <v/>
      </c>
    </row>
    <row r="89" spans="27:32" hidden="1" x14ac:dyDescent="0.2">
      <c r="AA89" s="281" t="str">
        <f t="shared" si="13"/>
        <v/>
      </c>
      <c r="AB89" s="281" t="str">
        <f t="shared" si="8"/>
        <v/>
      </c>
      <c r="AC89" s="281" t="str">
        <f t="shared" si="9"/>
        <v/>
      </c>
      <c r="AD89" s="281" t="str">
        <f t="shared" si="10"/>
        <v/>
      </c>
      <c r="AE89" s="281" t="str">
        <f t="shared" si="11"/>
        <v/>
      </c>
      <c r="AF89" s="281" t="str">
        <f t="shared" si="12"/>
        <v/>
      </c>
    </row>
    <row r="90" spans="27:32" hidden="1" x14ac:dyDescent="0.2">
      <c r="AA90" s="281" t="str">
        <f t="shared" si="13"/>
        <v/>
      </c>
      <c r="AB90" s="281" t="str">
        <f t="shared" si="8"/>
        <v/>
      </c>
      <c r="AC90" s="281" t="str">
        <f t="shared" si="9"/>
        <v/>
      </c>
      <c r="AD90" s="281" t="str">
        <f t="shared" si="10"/>
        <v/>
      </c>
      <c r="AE90" s="281" t="str">
        <f t="shared" si="11"/>
        <v/>
      </c>
      <c r="AF90" s="281" t="str">
        <f t="shared" si="12"/>
        <v/>
      </c>
    </row>
    <row r="91" spans="27:32" hidden="1" x14ac:dyDescent="0.2">
      <c r="AA91" s="281" t="str">
        <f t="shared" si="13"/>
        <v/>
      </c>
      <c r="AB91" s="281" t="str">
        <f t="shared" si="8"/>
        <v/>
      </c>
      <c r="AC91" s="281" t="str">
        <f t="shared" si="9"/>
        <v/>
      </c>
      <c r="AD91" s="281" t="str">
        <f t="shared" si="10"/>
        <v/>
      </c>
      <c r="AE91" s="281" t="str">
        <f t="shared" si="11"/>
        <v/>
      </c>
      <c r="AF91" s="281" t="str">
        <f t="shared" si="12"/>
        <v/>
      </c>
    </row>
    <row r="92" spans="27:32" hidden="1" x14ac:dyDescent="0.2">
      <c r="AA92" s="281" t="str">
        <f t="shared" si="13"/>
        <v/>
      </c>
      <c r="AB92" s="281" t="str">
        <f t="shared" si="8"/>
        <v/>
      </c>
      <c r="AC92" s="281" t="str">
        <f t="shared" si="9"/>
        <v/>
      </c>
      <c r="AD92" s="281" t="str">
        <f t="shared" si="10"/>
        <v/>
      </c>
      <c r="AE92" s="281" t="str">
        <f t="shared" si="11"/>
        <v/>
      </c>
      <c r="AF92" s="281" t="str">
        <f t="shared" si="12"/>
        <v/>
      </c>
    </row>
    <row r="93" spans="27:32" hidden="1" x14ac:dyDescent="0.2">
      <c r="AA93" s="281" t="str">
        <f t="shared" si="13"/>
        <v/>
      </c>
      <c r="AB93" s="281" t="str">
        <f t="shared" si="8"/>
        <v/>
      </c>
      <c r="AC93" s="281" t="str">
        <f t="shared" si="9"/>
        <v/>
      </c>
      <c r="AD93" s="281" t="str">
        <f t="shared" si="10"/>
        <v/>
      </c>
      <c r="AE93" s="281" t="str">
        <f t="shared" si="11"/>
        <v/>
      </c>
      <c r="AF93" s="281" t="str">
        <f t="shared" si="12"/>
        <v/>
      </c>
    </row>
    <row r="94" spans="27:32" hidden="1" x14ac:dyDescent="0.2">
      <c r="AA94" s="281" t="str">
        <f t="shared" si="13"/>
        <v/>
      </c>
      <c r="AB94" s="281" t="str">
        <f t="shared" si="8"/>
        <v/>
      </c>
      <c r="AC94" s="281" t="str">
        <f t="shared" si="9"/>
        <v/>
      </c>
      <c r="AD94" s="281" t="str">
        <f t="shared" si="10"/>
        <v/>
      </c>
      <c r="AE94" s="281" t="str">
        <f t="shared" si="11"/>
        <v/>
      </c>
      <c r="AF94" s="281" t="str">
        <f t="shared" si="12"/>
        <v/>
      </c>
    </row>
    <row r="95" spans="27:32" hidden="1" x14ac:dyDescent="0.2">
      <c r="AA95" s="281" t="str">
        <f t="shared" si="13"/>
        <v/>
      </c>
      <c r="AB95" s="281" t="str">
        <f t="shared" si="8"/>
        <v/>
      </c>
      <c r="AC95" s="281" t="str">
        <f t="shared" si="9"/>
        <v/>
      </c>
      <c r="AD95" s="281" t="str">
        <f t="shared" si="10"/>
        <v/>
      </c>
      <c r="AE95" s="281" t="str">
        <f t="shared" si="11"/>
        <v/>
      </c>
      <c r="AF95" s="281" t="str">
        <f t="shared" si="12"/>
        <v/>
      </c>
    </row>
    <row r="96" spans="27:32" hidden="1" x14ac:dyDescent="0.2">
      <c r="AA96" s="281" t="str">
        <f t="shared" si="13"/>
        <v/>
      </c>
      <c r="AB96" s="281" t="str">
        <f t="shared" si="8"/>
        <v/>
      </c>
      <c r="AC96" s="281" t="str">
        <f t="shared" si="9"/>
        <v/>
      </c>
      <c r="AD96" s="281" t="str">
        <f t="shared" si="10"/>
        <v/>
      </c>
      <c r="AE96" s="281" t="str">
        <f t="shared" si="11"/>
        <v/>
      </c>
      <c r="AF96" s="281" t="str">
        <f t="shared" si="12"/>
        <v/>
      </c>
    </row>
    <row r="97" spans="27:32" hidden="1" x14ac:dyDescent="0.2">
      <c r="AA97" s="281" t="str">
        <f t="shared" si="13"/>
        <v/>
      </c>
      <c r="AB97" s="281" t="str">
        <f t="shared" si="8"/>
        <v/>
      </c>
      <c r="AC97" s="281" t="str">
        <f t="shared" si="9"/>
        <v/>
      </c>
      <c r="AD97" s="281" t="str">
        <f t="shared" si="10"/>
        <v/>
      </c>
      <c r="AE97" s="281" t="str">
        <f t="shared" si="11"/>
        <v/>
      </c>
      <c r="AF97" s="281" t="str">
        <f t="shared" si="12"/>
        <v/>
      </c>
    </row>
    <row r="98" spans="27:32" hidden="1" x14ac:dyDescent="0.2">
      <c r="AA98" s="281" t="str">
        <f t="shared" si="13"/>
        <v/>
      </c>
      <c r="AB98" s="281" t="str">
        <f t="shared" si="8"/>
        <v/>
      </c>
      <c r="AC98" s="281" t="str">
        <f t="shared" si="9"/>
        <v/>
      </c>
      <c r="AD98" s="281" t="str">
        <f t="shared" si="10"/>
        <v/>
      </c>
      <c r="AE98" s="281" t="str">
        <f t="shared" si="11"/>
        <v/>
      </c>
      <c r="AF98" s="281" t="str">
        <f t="shared" si="12"/>
        <v/>
      </c>
    </row>
    <row r="99" spans="27:32" hidden="1" x14ac:dyDescent="0.2">
      <c r="AA99" s="281" t="str">
        <f t="shared" si="13"/>
        <v/>
      </c>
      <c r="AB99" s="281" t="str">
        <f t="shared" si="8"/>
        <v/>
      </c>
      <c r="AC99" s="281" t="str">
        <f t="shared" si="9"/>
        <v/>
      </c>
      <c r="AD99" s="281" t="str">
        <f t="shared" si="10"/>
        <v/>
      </c>
      <c r="AE99" s="281" t="str">
        <f t="shared" si="11"/>
        <v/>
      </c>
      <c r="AF99" s="281" t="str">
        <f t="shared" si="12"/>
        <v/>
      </c>
    </row>
    <row r="100" spans="27:32" hidden="1" x14ac:dyDescent="0.2">
      <c r="AA100" s="281" t="str">
        <f t="shared" si="13"/>
        <v/>
      </c>
      <c r="AB100" s="281" t="str">
        <f t="shared" si="8"/>
        <v/>
      </c>
      <c r="AC100" s="281" t="str">
        <f t="shared" si="9"/>
        <v/>
      </c>
      <c r="AD100" s="281" t="str">
        <f t="shared" si="10"/>
        <v/>
      </c>
      <c r="AE100" s="281" t="str">
        <f t="shared" si="11"/>
        <v/>
      </c>
      <c r="AF100" s="281" t="str">
        <f t="shared" si="12"/>
        <v/>
      </c>
    </row>
    <row r="101" spans="27:32" hidden="1" x14ac:dyDescent="0.2">
      <c r="AA101" s="281" t="str">
        <f t="shared" si="13"/>
        <v/>
      </c>
      <c r="AB101" s="281" t="str">
        <f t="shared" si="8"/>
        <v/>
      </c>
      <c r="AC101" s="281" t="str">
        <f t="shared" si="9"/>
        <v/>
      </c>
      <c r="AD101" s="281" t="str">
        <f t="shared" si="10"/>
        <v/>
      </c>
      <c r="AE101" s="281" t="str">
        <f t="shared" si="11"/>
        <v/>
      </c>
      <c r="AF101" s="281" t="str">
        <f t="shared" si="12"/>
        <v/>
      </c>
    </row>
    <row r="102" spans="27:32" hidden="1" x14ac:dyDescent="0.2">
      <c r="AA102" s="281" t="str">
        <f t="shared" si="13"/>
        <v/>
      </c>
      <c r="AB102" s="281" t="str">
        <f t="shared" si="8"/>
        <v/>
      </c>
      <c r="AC102" s="281" t="str">
        <f t="shared" si="9"/>
        <v/>
      </c>
      <c r="AD102" s="281" t="str">
        <f t="shared" si="10"/>
        <v/>
      </c>
      <c r="AE102" s="281" t="str">
        <f t="shared" si="11"/>
        <v/>
      </c>
      <c r="AF102" s="281" t="str">
        <f t="shared" si="12"/>
        <v/>
      </c>
    </row>
    <row r="103" spans="27:32" hidden="1" x14ac:dyDescent="0.2">
      <c r="AA103" s="281" t="str">
        <f t="shared" si="13"/>
        <v/>
      </c>
      <c r="AB103" s="281" t="str">
        <f t="shared" si="8"/>
        <v/>
      </c>
      <c r="AC103" s="281" t="str">
        <f t="shared" si="9"/>
        <v/>
      </c>
      <c r="AD103" s="281" t="str">
        <f t="shared" si="10"/>
        <v/>
      </c>
      <c r="AE103" s="281" t="str">
        <f t="shared" si="11"/>
        <v/>
      </c>
      <c r="AF103" s="281" t="str">
        <f t="shared" si="12"/>
        <v/>
      </c>
    </row>
    <row r="104" spans="27:32" hidden="1" x14ac:dyDescent="0.2">
      <c r="AA104" s="281" t="str">
        <f t="shared" si="13"/>
        <v/>
      </c>
      <c r="AB104" s="281" t="str">
        <f t="shared" si="8"/>
        <v/>
      </c>
      <c r="AC104" s="281" t="str">
        <f t="shared" si="9"/>
        <v/>
      </c>
      <c r="AD104" s="281" t="str">
        <f t="shared" si="10"/>
        <v/>
      </c>
      <c r="AE104" s="281" t="str">
        <f t="shared" si="11"/>
        <v/>
      </c>
      <c r="AF104" s="281" t="str">
        <f t="shared" si="12"/>
        <v/>
      </c>
    </row>
    <row r="105" spans="27:32" hidden="1" x14ac:dyDescent="0.2">
      <c r="AA105" s="281" t="str">
        <f t="shared" si="13"/>
        <v/>
      </c>
      <c r="AB105" s="281" t="str">
        <f t="shared" si="8"/>
        <v/>
      </c>
      <c r="AC105" s="281" t="str">
        <f t="shared" si="9"/>
        <v/>
      </c>
      <c r="AD105" s="281" t="str">
        <f t="shared" si="10"/>
        <v/>
      </c>
      <c r="AE105" s="281" t="str">
        <f t="shared" si="11"/>
        <v/>
      </c>
      <c r="AF105" s="281" t="str">
        <f t="shared" si="12"/>
        <v/>
      </c>
    </row>
    <row r="106" spans="27:32" hidden="1" x14ac:dyDescent="0.2">
      <c r="AA106" s="281" t="str">
        <f t="shared" si="13"/>
        <v/>
      </c>
      <c r="AB106" s="281" t="str">
        <f t="shared" si="8"/>
        <v/>
      </c>
      <c r="AC106" s="281" t="str">
        <f t="shared" si="9"/>
        <v/>
      </c>
      <c r="AD106" s="281" t="str">
        <f t="shared" si="10"/>
        <v/>
      </c>
      <c r="AE106" s="281" t="str">
        <f t="shared" si="11"/>
        <v/>
      </c>
      <c r="AF106" s="281" t="str">
        <f t="shared" si="12"/>
        <v/>
      </c>
    </row>
    <row r="107" spans="27:32" hidden="1" x14ac:dyDescent="0.2">
      <c r="AA107" s="281" t="str">
        <f t="shared" si="13"/>
        <v/>
      </c>
      <c r="AB107" s="281" t="str">
        <f t="shared" si="8"/>
        <v/>
      </c>
      <c r="AC107" s="281" t="str">
        <f t="shared" si="9"/>
        <v/>
      </c>
      <c r="AD107" s="281" t="str">
        <f t="shared" si="10"/>
        <v/>
      </c>
      <c r="AE107" s="281" t="str">
        <f t="shared" si="11"/>
        <v/>
      </c>
      <c r="AF107" s="281" t="str">
        <f t="shared" si="12"/>
        <v/>
      </c>
    </row>
    <row r="108" spans="27:32" hidden="1" x14ac:dyDescent="0.2">
      <c r="AA108" s="281" t="str">
        <f t="shared" si="13"/>
        <v/>
      </c>
      <c r="AB108" s="281" t="str">
        <f t="shared" si="8"/>
        <v/>
      </c>
      <c r="AC108" s="281" t="str">
        <f t="shared" si="9"/>
        <v/>
      </c>
      <c r="AD108" s="281" t="str">
        <f t="shared" si="10"/>
        <v/>
      </c>
      <c r="AE108" s="281" t="str">
        <f t="shared" si="11"/>
        <v/>
      </c>
      <c r="AF108" s="281" t="str">
        <f t="shared" si="12"/>
        <v/>
      </c>
    </row>
    <row r="109" spans="27:32" hidden="1" x14ac:dyDescent="0.2">
      <c r="AA109" s="281" t="str">
        <f t="shared" si="13"/>
        <v/>
      </c>
      <c r="AB109" s="281" t="str">
        <f t="shared" si="8"/>
        <v/>
      </c>
      <c r="AC109" s="281" t="str">
        <f t="shared" si="9"/>
        <v/>
      </c>
      <c r="AD109" s="281" t="str">
        <f t="shared" si="10"/>
        <v/>
      </c>
      <c r="AE109" s="281" t="str">
        <f t="shared" si="11"/>
        <v/>
      </c>
      <c r="AF109" s="281" t="str">
        <f t="shared" si="12"/>
        <v/>
      </c>
    </row>
    <row r="110" spans="27:32" hidden="1" x14ac:dyDescent="0.2">
      <c r="AA110" s="281" t="str">
        <f t="shared" si="13"/>
        <v/>
      </c>
      <c r="AB110" s="281" t="str">
        <f t="shared" si="8"/>
        <v/>
      </c>
      <c r="AC110" s="281" t="str">
        <f t="shared" si="9"/>
        <v/>
      </c>
      <c r="AD110" s="281" t="str">
        <f t="shared" si="10"/>
        <v/>
      </c>
      <c r="AE110" s="281" t="str">
        <f t="shared" si="11"/>
        <v/>
      </c>
      <c r="AF110" s="281" t="str">
        <f t="shared" si="12"/>
        <v/>
      </c>
    </row>
    <row r="111" spans="27:32" hidden="1" x14ac:dyDescent="0.2">
      <c r="AA111" s="281" t="str">
        <f t="shared" si="13"/>
        <v/>
      </c>
      <c r="AB111" s="281" t="str">
        <f t="shared" si="8"/>
        <v/>
      </c>
      <c r="AC111" s="281" t="str">
        <f t="shared" si="9"/>
        <v/>
      </c>
      <c r="AD111" s="281" t="str">
        <f t="shared" si="10"/>
        <v/>
      </c>
      <c r="AE111" s="281" t="str">
        <f t="shared" si="11"/>
        <v/>
      </c>
      <c r="AF111" s="281" t="str">
        <f t="shared" si="12"/>
        <v/>
      </c>
    </row>
    <row r="112" spans="27:32" hidden="1" x14ac:dyDescent="0.2">
      <c r="AA112" s="281" t="str">
        <f t="shared" si="13"/>
        <v/>
      </c>
      <c r="AB112" s="281" t="str">
        <f t="shared" si="8"/>
        <v/>
      </c>
      <c r="AC112" s="281" t="str">
        <f t="shared" si="9"/>
        <v/>
      </c>
      <c r="AD112" s="281" t="str">
        <f t="shared" si="10"/>
        <v/>
      </c>
      <c r="AE112" s="281" t="str">
        <f t="shared" si="11"/>
        <v/>
      </c>
      <c r="AF112" s="281" t="str">
        <f t="shared" si="12"/>
        <v/>
      </c>
    </row>
    <row r="113" spans="27:32" hidden="1" x14ac:dyDescent="0.2">
      <c r="AA113" s="281" t="str">
        <f t="shared" si="13"/>
        <v/>
      </c>
      <c r="AB113" s="281" t="str">
        <f t="shared" si="8"/>
        <v/>
      </c>
      <c r="AC113" s="281" t="str">
        <f t="shared" si="9"/>
        <v/>
      </c>
      <c r="AD113" s="281" t="str">
        <f t="shared" si="10"/>
        <v/>
      </c>
      <c r="AE113" s="281" t="str">
        <f t="shared" si="11"/>
        <v/>
      </c>
      <c r="AF113" s="281" t="str">
        <f t="shared" si="12"/>
        <v/>
      </c>
    </row>
    <row r="114" spans="27:32" hidden="1" x14ac:dyDescent="0.2">
      <c r="AA114" s="281" t="str">
        <f t="shared" si="13"/>
        <v/>
      </c>
      <c r="AB114" s="281" t="str">
        <f t="shared" si="8"/>
        <v/>
      </c>
      <c r="AC114" s="281" t="str">
        <f t="shared" si="9"/>
        <v/>
      </c>
      <c r="AD114" s="281" t="str">
        <f t="shared" si="10"/>
        <v/>
      </c>
      <c r="AE114" s="281" t="str">
        <f t="shared" si="11"/>
        <v/>
      </c>
      <c r="AF114" s="281" t="str">
        <f t="shared" si="12"/>
        <v/>
      </c>
    </row>
    <row r="115" spans="27:32" hidden="1" x14ac:dyDescent="0.2">
      <c r="AA115" s="281" t="str">
        <f t="shared" si="13"/>
        <v/>
      </c>
      <c r="AB115" s="281" t="str">
        <f t="shared" si="8"/>
        <v/>
      </c>
      <c r="AC115" s="281" t="str">
        <f t="shared" si="9"/>
        <v/>
      </c>
      <c r="AD115" s="281" t="str">
        <f t="shared" si="10"/>
        <v/>
      </c>
      <c r="AE115" s="281" t="str">
        <f t="shared" si="11"/>
        <v/>
      </c>
      <c r="AF115" s="281" t="str">
        <f t="shared" si="12"/>
        <v/>
      </c>
    </row>
    <row r="116" spans="27:32" hidden="1" x14ac:dyDescent="0.2">
      <c r="AA116" s="281" t="str">
        <f t="shared" si="13"/>
        <v/>
      </c>
      <c r="AB116" s="281" t="str">
        <f t="shared" si="8"/>
        <v/>
      </c>
      <c r="AC116" s="281" t="str">
        <f t="shared" si="9"/>
        <v/>
      </c>
      <c r="AD116" s="281" t="str">
        <f t="shared" si="10"/>
        <v/>
      </c>
      <c r="AE116" s="281" t="str">
        <f t="shared" si="11"/>
        <v/>
      </c>
      <c r="AF116" s="281" t="str">
        <f t="shared" si="12"/>
        <v/>
      </c>
    </row>
    <row r="117" spans="27:32" hidden="1" x14ac:dyDescent="0.2">
      <c r="AA117" s="281" t="str">
        <f t="shared" si="13"/>
        <v/>
      </c>
      <c r="AB117" s="281" t="str">
        <f t="shared" si="8"/>
        <v/>
      </c>
      <c r="AC117" s="281" t="str">
        <f t="shared" si="9"/>
        <v/>
      </c>
      <c r="AD117" s="281" t="str">
        <f t="shared" si="10"/>
        <v/>
      </c>
      <c r="AE117" s="281" t="str">
        <f t="shared" si="11"/>
        <v/>
      </c>
      <c r="AF117" s="281" t="str">
        <f t="shared" si="12"/>
        <v/>
      </c>
    </row>
    <row r="118" spans="27:32" hidden="1" x14ac:dyDescent="0.2">
      <c r="AA118" s="281" t="str">
        <f t="shared" si="13"/>
        <v/>
      </c>
      <c r="AB118" s="281" t="str">
        <f t="shared" si="8"/>
        <v/>
      </c>
      <c r="AC118" s="281" t="str">
        <f t="shared" si="9"/>
        <v/>
      </c>
      <c r="AD118" s="281" t="str">
        <f t="shared" si="10"/>
        <v/>
      </c>
      <c r="AE118" s="281" t="str">
        <f t="shared" si="11"/>
        <v/>
      </c>
      <c r="AF118" s="281" t="str">
        <f t="shared" si="12"/>
        <v/>
      </c>
    </row>
    <row r="119" spans="27:32" hidden="1" x14ac:dyDescent="0.2">
      <c r="AA119" s="281" t="str">
        <f t="shared" si="13"/>
        <v/>
      </c>
      <c r="AB119" s="281" t="str">
        <f t="shared" si="8"/>
        <v/>
      </c>
      <c r="AC119" s="281" t="str">
        <f t="shared" si="9"/>
        <v/>
      </c>
      <c r="AD119" s="281" t="str">
        <f t="shared" si="10"/>
        <v/>
      </c>
      <c r="AE119" s="281" t="str">
        <f t="shared" si="11"/>
        <v/>
      </c>
      <c r="AF119" s="281" t="str">
        <f t="shared" si="12"/>
        <v/>
      </c>
    </row>
    <row r="120" spans="27:32" hidden="1" x14ac:dyDescent="0.2">
      <c r="AA120" s="281" t="str">
        <f t="shared" si="13"/>
        <v/>
      </c>
      <c r="AB120" s="281" t="str">
        <f t="shared" si="8"/>
        <v/>
      </c>
      <c r="AC120" s="281" t="str">
        <f t="shared" si="9"/>
        <v/>
      </c>
      <c r="AD120" s="281" t="str">
        <f t="shared" si="10"/>
        <v/>
      </c>
      <c r="AE120" s="281" t="str">
        <f t="shared" si="11"/>
        <v/>
      </c>
      <c r="AF120" s="281" t="str">
        <f t="shared" si="12"/>
        <v/>
      </c>
    </row>
    <row r="121" spans="27:32" hidden="1" x14ac:dyDescent="0.2">
      <c r="AA121" s="281" t="str">
        <f t="shared" si="13"/>
        <v/>
      </c>
      <c r="AB121" s="281" t="str">
        <f t="shared" si="8"/>
        <v/>
      </c>
      <c r="AC121" s="281" t="str">
        <f t="shared" si="9"/>
        <v/>
      </c>
      <c r="AD121" s="281" t="str">
        <f t="shared" si="10"/>
        <v/>
      </c>
      <c r="AE121" s="281" t="str">
        <f t="shared" si="11"/>
        <v/>
      </c>
      <c r="AF121" s="281" t="str">
        <f t="shared" si="12"/>
        <v/>
      </c>
    </row>
    <row r="122" spans="27:32" hidden="1" x14ac:dyDescent="0.2">
      <c r="AA122" s="281" t="str">
        <f t="shared" si="13"/>
        <v/>
      </c>
      <c r="AB122" s="281" t="str">
        <f t="shared" si="8"/>
        <v/>
      </c>
      <c r="AC122" s="281" t="str">
        <f t="shared" si="9"/>
        <v/>
      </c>
      <c r="AD122" s="281" t="str">
        <f t="shared" si="10"/>
        <v/>
      </c>
      <c r="AE122" s="281" t="str">
        <f t="shared" si="11"/>
        <v/>
      </c>
      <c r="AF122" s="281" t="str">
        <f t="shared" si="12"/>
        <v/>
      </c>
    </row>
    <row r="123" spans="27:32" hidden="1" x14ac:dyDescent="0.2">
      <c r="AA123" s="281" t="str">
        <f t="shared" si="13"/>
        <v/>
      </c>
      <c r="AB123" s="281" t="str">
        <f t="shared" si="8"/>
        <v/>
      </c>
      <c r="AC123" s="281" t="str">
        <f t="shared" si="9"/>
        <v/>
      </c>
      <c r="AD123" s="281" t="str">
        <f t="shared" si="10"/>
        <v/>
      </c>
      <c r="AE123" s="281" t="str">
        <f t="shared" si="11"/>
        <v/>
      </c>
      <c r="AF123" s="281" t="str">
        <f t="shared" si="12"/>
        <v/>
      </c>
    </row>
    <row r="124" spans="27:32" hidden="1" x14ac:dyDescent="0.2">
      <c r="AA124" s="281" t="str">
        <f t="shared" si="13"/>
        <v/>
      </c>
      <c r="AB124" s="281" t="str">
        <f t="shared" si="8"/>
        <v/>
      </c>
      <c r="AC124" s="281" t="str">
        <f t="shared" si="9"/>
        <v/>
      </c>
      <c r="AD124" s="281" t="str">
        <f t="shared" si="10"/>
        <v/>
      </c>
      <c r="AE124" s="281" t="str">
        <f t="shared" si="11"/>
        <v/>
      </c>
      <c r="AF124" s="281" t="str">
        <f t="shared" si="12"/>
        <v/>
      </c>
    </row>
    <row r="125" spans="27:32" hidden="1" x14ac:dyDescent="0.2">
      <c r="AA125" s="281" t="str">
        <f t="shared" si="13"/>
        <v/>
      </c>
      <c r="AB125" s="281" t="str">
        <f t="shared" si="8"/>
        <v/>
      </c>
      <c r="AC125" s="281" t="str">
        <f t="shared" si="9"/>
        <v/>
      </c>
      <c r="AD125" s="281" t="str">
        <f t="shared" si="10"/>
        <v/>
      </c>
      <c r="AE125" s="281" t="str">
        <f t="shared" si="11"/>
        <v/>
      </c>
      <c r="AF125" s="281" t="str">
        <f t="shared" si="12"/>
        <v/>
      </c>
    </row>
    <row r="126" spans="27:32" hidden="1" x14ac:dyDescent="0.2">
      <c r="AA126" s="281" t="str">
        <f t="shared" si="13"/>
        <v/>
      </c>
      <c r="AB126" s="281" t="str">
        <f t="shared" si="8"/>
        <v/>
      </c>
      <c r="AC126" s="281" t="str">
        <f t="shared" si="9"/>
        <v/>
      </c>
      <c r="AD126" s="281" t="str">
        <f t="shared" si="10"/>
        <v/>
      </c>
      <c r="AE126" s="281" t="str">
        <f t="shared" si="11"/>
        <v/>
      </c>
      <c r="AF126" s="281" t="str">
        <f t="shared" si="12"/>
        <v/>
      </c>
    </row>
    <row r="127" spans="27:32" hidden="1" x14ac:dyDescent="0.2">
      <c r="AA127" s="281" t="str">
        <f t="shared" si="13"/>
        <v/>
      </c>
      <c r="AB127" s="281" t="str">
        <f t="shared" si="8"/>
        <v/>
      </c>
      <c r="AC127" s="281" t="str">
        <f t="shared" si="9"/>
        <v/>
      </c>
      <c r="AD127" s="281" t="str">
        <f t="shared" si="10"/>
        <v/>
      </c>
      <c r="AE127" s="281" t="str">
        <f t="shared" si="11"/>
        <v/>
      </c>
      <c r="AF127" s="281" t="str">
        <f t="shared" si="12"/>
        <v/>
      </c>
    </row>
    <row r="128" spans="27:32" hidden="1" x14ac:dyDescent="0.2">
      <c r="AA128" s="281" t="str">
        <f t="shared" si="13"/>
        <v/>
      </c>
      <c r="AB128" s="281" t="str">
        <f t="shared" si="8"/>
        <v/>
      </c>
      <c r="AC128" s="281" t="str">
        <f t="shared" si="9"/>
        <v/>
      </c>
      <c r="AD128" s="281" t="str">
        <f t="shared" si="10"/>
        <v/>
      </c>
      <c r="AE128" s="281" t="str">
        <f t="shared" si="11"/>
        <v/>
      </c>
      <c r="AF128" s="281" t="str">
        <f t="shared" si="12"/>
        <v/>
      </c>
    </row>
    <row r="129" spans="27:32" hidden="1" x14ac:dyDescent="0.2">
      <c r="AA129" s="281" t="str">
        <f t="shared" si="13"/>
        <v/>
      </c>
      <c r="AB129" s="281" t="str">
        <f t="shared" si="8"/>
        <v/>
      </c>
      <c r="AC129" s="281" t="str">
        <f t="shared" si="9"/>
        <v/>
      </c>
      <c r="AD129" s="281" t="str">
        <f t="shared" si="10"/>
        <v/>
      </c>
      <c r="AE129" s="281" t="str">
        <f t="shared" si="11"/>
        <v/>
      </c>
      <c r="AF129" s="281" t="str">
        <f t="shared" si="12"/>
        <v/>
      </c>
    </row>
    <row r="130" spans="27:32" hidden="1" x14ac:dyDescent="0.2">
      <c r="AA130" s="281" t="str">
        <f t="shared" si="13"/>
        <v/>
      </c>
      <c r="AB130" s="281" t="str">
        <f t="shared" si="8"/>
        <v/>
      </c>
      <c r="AC130" s="281" t="str">
        <f t="shared" si="9"/>
        <v/>
      </c>
      <c r="AD130" s="281" t="str">
        <f t="shared" si="10"/>
        <v/>
      </c>
      <c r="AE130" s="281" t="str">
        <f t="shared" si="11"/>
        <v/>
      </c>
      <c r="AF130" s="281" t="str">
        <f t="shared" si="12"/>
        <v/>
      </c>
    </row>
    <row r="131" spans="27:32" hidden="1" x14ac:dyDescent="0.2">
      <c r="AA131" s="281" t="str">
        <f t="shared" si="13"/>
        <v/>
      </c>
      <c r="AB131" s="281" t="str">
        <f t="shared" si="8"/>
        <v/>
      </c>
      <c r="AC131" s="281" t="str">
        <f t="shared" si="9"/>
        <v/>
      </c>
      <c r="AD131" s="281" t="str">
        <f t="shared" si="10"/>
        <v/>
      </c>
      <c r="AE131" s="281" t="str">
        <f t="shared" si="11"/>
        <v/>
      </c>
      <c r="AF131" s="281" t="str">
        <f t="shared" si="12"/>
        <v/>
      </c>
    </row>
    <row r="132" spans="27:32" hidden="1" x14ac:dyDescent="0.2">
      <c r="AA132" s="281" t="str">
        <f t="shared" si="13"/>
        <v/>
      </c>
      <c r="AB132" s="281" t="str">
        <f t="shared" si="8"/>
        <v/>
      </c>
      <c r="AC132" s="281" t="str">
        <f t="shared" si="9"/>
        <v/>
      </c>
      <c r="AD132" s="281" t="str">
        <f t="shared" si="10"/>
        <v/>
      </c>
      <c r="AE132" s="281" t="str">
        <f t="shared" si="11"/>
        <v/>
      </c>
      <c r="AF132" s="281" t="str">
        <f t="shared" si="12"/>
        <v/>
      </c>
    </row>
    <row r="133" spans="27:32" hidden="1" x14ac:dyDescent="0.2">
      <c r="AA133" s="281" t="str">
        <f t="shared" si="13"/>
        <v/>
      </c>
      <c r="AB133" s="281" t="str">
        <f t="shared" si="8"/>
        <v/>
      </c>
      <c r="AC133" s="281" t="str">
        <f t="shared" si="9"/>
        <v/>
      </c>
      <c r="AD133" s="281" t="str">
        <f t="shared" si="10"/>
        <v/>
      </c>
      <c r="AE133" s="281" t="str">
        <f t="shared" si="11"/>
        <v/>
      </c>
      <c r="AF133" s="281" t="str">
        <f t="shared" si="12"/>
        <v/>
      </c>
    </row>
    <row r="134" spans="27:32" hidden="1" x14ac:dyDescent="0.2">
      <c r="AA134" s="281" t="str">
        <f t="shared" si="13"/>
        <v/>
      </c>
      <c r="AB134" s="281" t="str">
        <f t="shared" si="8"/>
        <v/>
      </c>
      <c r="AC134" s="281" t="str">
        <f t="shared" si="9"/>
        <v/>
      </c>
      <c r="AD134" s="281" t="str">
        <f t="shared" si="10"/>
        <v/>
      </c>
      <c r="AE134" s="281" t="str">
        <f t="shared" si="11"/>
        <v/>
      </c>
      <c r="AF134" s="281" t="str">
        <f t="shared" si="12"/>
        <v/>
      </c>
    </row>
    <row r="135" spans="27:32" hidden="1" x14ac:dyDescent="0.2">
      <c r="AA135" s="281" t="str">
        <f t="shared" si="13"/>
        <v/>
      </c>
      <c r="AB135" s="281" t="str">
        <f t="shared" ref="AB135:AB198" si="14">IF(NOT(ISBLANK(F135)),L135,"")</f>
        <v/>
      </c>
      <c r="AC135" s="281" t="str">
        <f t="shared" ref="AC135:AC198" si="15">IF(NOT(ISBLANK(G135)),L135,"")</f>
        <v/>
      </c>
      <c r="AD135" s="281" t="str">
        <f t="shared" ref="AD135:AD198" si="16">IF(NOT(ISBLANK(H135)),L135,"")</f>
        <v/>
      </c>
      <c r="AE135" s="281" t="str">
        <f t="shared" ref="AE135:AE198" si="17">IF(NOT(ISBLANK(I135)),L135,"")</f>
        <v/>
      </c>
      <c r="AF135" s="281" t="str">
        <f t="shared" ref="AF135:AF198" si="18">IF(NOT(ISBLANK(J135)),L135,"")</f>
        <v/>
      </c>
    </row>
    <row r="136" spans="27:32" hidden="1" x14ac:dyDescent="0.2">
      <c r="AA136" s="281" t="str">
        <f t="shared" ref="AA136:AA199" si="19">IF(NOT(ISBLANK(E136)),L136,"")</f>
        <v/>
      </c>
      <c r="AB136" s="281" t="str">
        <f t="shared" si="14"/>
        <v/>
      </c>
      <c r="AC136" s="281" t="str">
        <f t="shared" si="15"/>
        <v/>
      </c>
      <c r="AD136" s="281" t="str">
        <f t="shared" si="16"/>
        <v/>
      </c>
      <c r="AE136" s="281" t="str">
        <f t="shared" si="17"/>
        <v/>
      </c>
      <c r="AF136" s="281" t="str">
        <f t="shared" si="18"/>
        <v/>
      </c>
    </row>
    <row r="137" spans="27:32" hidden="1" x14ac:dyDescent="0.2">
      <c r="AA137" s="281" t="str">
        <f t="shared" si="19"/>
        <v/>
      </c>
      <c r="AB137" s="281" t="str">
        <f t="shared" si="14"/>
        <v/>
      </c>
      <c r="AC137" s="281" t="str">
        <f t="shared" si="15"/>
        <v/>
      </c>
      <c r="AD137" s="281" t="str">
        <f t="shared" si="16"/>
        <v/>
      </c>
      <c r="AE137" s="281" t="str">
        <f t="shared" si="17"/>
        <v/>
      </c>
      <c r="AF137" s="281" t="str">
        <f t="shared" si="18"/>
        <v/>
      </c>
    </row>
    <row r="138" spans="27:32" hidden="1" x14ac:dyDescent="0.2">
      <c r="AA138" s="281" t="str">
        <f t="shared" si="19"/>
        <v/>
      </c>
      <c r="AB138" s="281" t="str">
        <f t="shared" si="14"/>
        <v/>
      </c>
      <c r="AC138" s="281" t="str">
        <f t="shared" si="15"/>
        <v/>
      </c>
      <c r="AD138" s="281" t="str">
        <f t="shared" si="16"/>
        <v/>
      </c>
      <c r="AE138" s="281" t="str">
        <f t="shared" si="17"/>
        <v/>
      </c>
      <c r="AF138" s="281" t="str">
        <f t="shared" si="18"/>
        <v/>
      </c>
    </row>
    <row r="139" spans="27:32" hidden="1" x14ac:dyDescent="0.2">
      <c r="AA139" s="281" t="str">
        <f t="shared" si="19"/>
        <v/>
      </c>
      <c r="AB139" s="281" t="str">
        <f t="shared" si="14"/>
        <v/>
      </c>
      <c r="AC139" s="281" t="str">
        <f t="shared" si="15"/>
        <v/>
      </c>
      <c r="AD139" s="281" t="str">
        <f t="shared" si="16"/>
        <v/>
      </c>
      <c r="AE139" s="281" t="str">
        <f t="shared" si="17"/>
        <v/>
      </c>
      <c r="AF139" s="281" t="str">
        <f t="shared" si="18"/>
        <v/>
      </c>
    </row>
    <row r="140" spans="27:32" hidden="1" x14ac:dyDescent="0.2">
      <c r="AA140" s="281" t="str">
        <f t="shared" si="19"/>
        <v/>
      </c>
      <c r="AB140" s="281" t="str">
        <f t="shared" si="14"/>
        <v/>
      </c>
      <c r="AC140" s="281" t="str">
        <f t="shared" si="15"/>
        <v/>
      </c>
      <c r="AD140" s="281" t="str">
        <f t="shared" si="16"/>
        <v/>
      </c>
      <c r="AE140" s="281" t="str">
        <f t="shared" si="17"/>
        <v/>
      </c>
      <c r="AF140" s="281" t="str">
        <f t="shared" si="18"/>
        <v/>
      </c>
    </row>
    <row r="141" spans="27:32" hidden="1" x14ac:dyDescent="0.2">
      <c r="AA141" s="281" t="str">
        <f t="shared" si="19"/>
        <v/>
      </c>
      <c r="AB141" s="281" t="str">
        <f t="shared" si="14"/>
        <v/>
      </c>
      <c r="AC141" s="281" t="str">
        <f t="shared" si="15"/>
        <v/>
      </c>
      <c r="AD141" s="281" t="str">
        <f t="shared" si="16"/>
        <v/>
      </c>
      <c r="AE141" s="281" t="str">
        <f t="shared" si="17"/>
        <v/>
      </c>
      <c r="AF141" s="281" t="str">
        <f t="shared" si="18"/>
        <v/>
      </c>
    </row>
    <row r="142" spans="27:32" hidden="1" x14ac:dyDescent="0.2">
      <c r="AA142" s="281" t="str">
        <f t="shared" si="19"/>
        <v/>
      </c>
      <c r="AB142" s="281" t="str">
        <f t="shared" si="14"/>
        <v/>
      </c>
      <c r="AC142" s="281" t="str">
        <f t="shared" si="15"/>
        <v/>
      </c>
      <c r="AD142" s="281" t="str">
        <f t="shared" si="16"/>
        <v/>
      </c>
      <c r="AE142" s="281" t="str">
        <f t="shared" si="17"/>
        <v/>
      </c>
      <c r="AF142" s="281" t="str">
        <f t="shared" si="18"/>
        <v/>
      </c>
    </row>
    <row r="143" spans="27:32" hidden="1" x14ac:dyDescent="0.2">
      <c r="AA143" s="281" t="str">
        <f t="shared" si="19"/>
        <v/>
      </c>
      <c r="AB143" s="281" t="str">
        <f t="shared" si="14"/>
        <v/>
      </c>
      <c r="AC143" s="281" t="str">
        <f t="shared" si="15"/>
        <v/>
      </c>
      <c r="AD143" s="281" t="str">
        <f t="shared" si="16"/>
        <v/>
      </c>
      <c r="AE143" s="281" t="str">
        <f t="shared" si="17"/>
        <v/>
      </c>
      <c r="AF143" s="281" t="str">
        <f t="shared" si="18"/>
        <v/>
      </c>
    </row>
    <row r="144" spans="27:32" hidden="1" x14ac:dyDescent="0.2">
      <c r="AA144" s="281" t="str">
        <f t="shared" si="19"/>
        <v/>
      </c>
      <c r="AB144" s="281" t="str">
        <f t="shared" si="14"/>
        <v/>
      </c>
      <c r="AC144" s="281" t="str">
        <f t="shared" si="15"/>
        <v/>
      </c>
      <c r="AD144" s="281" t="str">
        <f t="shared" si="16"/>
        <v/>
      </c>
      <c r="AE144" s="281" t="str">
        <f t="shared" si="17"/>
        <v/>
      </c>
      <c r="AF144" s="281" t="str">
        <f t="shared" si="18"/>
        <v/>
      </c>
    </row>
    <row r="145" spans="27:32" hidden="1" x14ac:dyDescent="0.2">
      <c r="AA145" s="281" t="str">
        <f t="shared" si="19"/>
        <v/>
      </c>
      <c r="AB145" s="281" t="str">
        <f t="shared" si="14"/>
        <v/>
      </c>
      <c r="AC145" s="281" t="str">
        <f t="shared" si="15"/>
        <v/>
      </c>
      <c r="AD145" s="281" t="str">
        <f t="shared" si="16"/>
        <v/>
      </c>
      <c r="AE145" s="281" t="str">
        <f t="shared" si="17"/>
        <v/>
      </c>
      <c r="AF145" s="281" t="str">
        <f t="shared" si="18"/>
        <v/>
      </c>
    </row>
    <row r="146" spans="27:32" hidden="1" x14ac:dyDescent="0.2">
      <c r="AA146" s="281" t="str">
        <f t="shared" si="19"/>
        <v/>
      </c>
      <c r="AB146" s="281" t="str">
        <f t="shared" si="14"/>
        <v/>
      </c>
      <c r="AC146" s="281" t="str">
        <f t="shared" si="15"/>
        <v/>
      </c>
      <c r="AD146" s="281" t="str">
        <f t="shared" si="16"/>
        <v/>
      </c>
      <c r="AE146" s="281" t="str">
        <f t="shared" si="17"/>
        <v/>
      </c>
      <c r="AF146" s="281" t="str">
        <f t="shared" si="18"/>
        <v/>
      </c>
    </row>
    <row r="147" spans="27:32" hidden="1" x14ac:dyDescent="0.2">
      <c r="AA147" s="281" t="str">
        <f t="shared" si="19"/>
        <v/>
      </c>
      <c r="AB147" s="281" t="str">
        <f t="shared" si="14"/>
        <v/>
      </c>
      <c r="AC147" s="281" t="str">
        <f t="shared" si="15"/>
        <v/>
      </c>
      <c r="AD147" s="281" t="str">
        <f t="shared" si="16"/>
        <v/>
      </c>
      <c r="AE147" s="281" t="str">
        <f t="shared" si="17"/>
        <v/>
      </c>
      <c r="AF147" s="281" t="str">
        <f t="shared" si="18"/>
        <v/>
      </c>
    </row>
    <row r="148" spans="27:32" hidden="1" x14ac:dyDescent="0.2">
      <c r="AA148" s="281" t="str">
        <f t="shared" si="19"/>
        <v/>
      </c>
      <c r="AB148" s="281" t="str">
        <f t="shared" si="14"/>
        <v/>
      </c>
      <c r="AC148" s="281" t="str">
        <f t="shared" si="15"/>
        <v/>
      </c>
      <c r="AD148" s="281" t="str">
        <f t="shared" si="16"/>
        <v/>
      </c>
      <c r="AE148" s="281" t="str">
        <f t="shared" si="17"/>
        <v/>
      </c>
      <c r="AF148" s="281" t="str">
        <f t="shared" si="18"/>
        <v/>
      </c>
    </row>
    <row r="149" spans="27:32" hidden="1" x14ac:dyDescent="0.2">
      <c r="AA149" s="281" t="str">
        <f t="shared" si="19"/>
        <v/>
      </c>
      <c r="AB149" s="281" t="str">
        <f t="shared" si="14"/>
        <v/>
      </c>
      <c r="AC149" s="281" t="str">
        <f t="shared" si="15"/>
        <v/>
      </c>
      <c r="AD149" s="281" t="str">
        <f t="shared" si="16"/>
        <v/>
      </c>
      <c r="AE149" s="281" t="str">
        <f t="shared" si="17"/>
        <v/>
      </c>
      <c r="AF149" s="281" t="str">
        <f t="shared" si="18"/>
        <v/>
      </c>
    </row>
    <row r="150" spans="27:32" hidden="1" x14ac:dyDescent="0.2">
      <c r="AA150" s="281" t="str">
        <f t="shared" si="19"/>
        <v/>
      </c>
      <c r="AB150" s="281" t="str">
        <f t="shared" si="14"/>
        <v/>
      </c>
      <c r="AC150" s="281" t="str">
        <f t="shared" si="15"/>
        <v/>
      </c>
      <c r="AD150" s="281" t="str">
        <f t="shared" si="16"/>
        <v/>
      </c>
      <c r="AE150" s="281" t="str">
        <f t="shared" si="17"/>
        <v/>
      </c>
      <c r="AF150" s="281" t="str">
        <f t="shared" si="18"/>
        <v/>
      </c>
    </row>
    <row r="151" spans="27:32" hidden="1" x14ac:dyDescent="0.2">
      <c r="AA151" s="281" t="str">
        <f t="shared" si="19"/>
        <v/>
      </c>
      <c r="AB151" s="281" t="str">
        <f t="shared" si="14"/>
        <v/>
      </c>
      <c r="AC151" s="281" t="str">
        <f t="shared" si="15"/>
        <v/>
      </c>
      <c r="AD151" s="281" t="str">
        <f t="shared" si="16"/>
        <v/>
      </c>
      <c r="AE151" s="281" t="str">
        <f t="shared" si="17"/>
        <v/>
      </c>
      <c r="AF151" s="281" t="str">
        <f t="shared" si="18"/>
        <v/>
      </c>
    </row>
    <row r="152" spans="27:32" hidden="1" x14ac:dyDescent="0.2">
      <c r="AA152" s="281" t="str">
        <f t="shared" si="19"/>
        <v/>
      </c>
      <c r="AB152" s="281" t="str">
        <f t="shared" si="14"/>
        <v/>
      </c>
      <c r="AC152" s="281" t="str">
        <f t="shared" si="15"/>
        <v/>
      </c>
      <c r="AD152" s="281" t="str">
        <f t="shared" si="16"/>
        <v/>
      </c>
      <c r="AE152" s="281" t="str">
        <f t="shared" si="17"/>
        <v/>
      </c>
      <c r="AF152" s="281" t="str">
        <f t="shared" si="18"/>
        <v/>
      </c>
    </row>
    <row r="153" spans="27:32" hidden="1" x14ac:dyDescent="0.2">
      <c r="AA153" s="281" t="str">
        <f t="shared" si="19"/>
        <v/>
      </c>
      <c r="AB153" s="281" t="str">
        <f t="shared" si="14"/>
        <v/>
      </c>
      <c r="AC153" s="281" t="str">
        <f t="shared" si="15"/>
        <v/>
      </c>
      <c r="AD153" s="281" t="str">
        <f t="shared" si="16"/>
        <v/>
      </c>
      <c r="AE153" s="281" t="str">
        <f t="shared" si="17"/>
        <v/>
      </c>
      <c r="AF153" s="281" t="str">
        <f t="shared" si="18"/>
        <v/>
      </c>
    </row>
    <row r="154" spans="27:32" hidden="1" x14ac:dyDescent="0.2">
      <c r="AA154" s="281" t="str">
        <f t="shared" si="19"/>
        <v/>
      </c>
      <c r="AB154" s="281" t="str">
        <f t="shared" si="14"/>
        <v/>
      </c>
      <c r="AC154" s="281" t="str">
        <f t="shared" si="15"/>
        <v/>
      </c>
      <c r="AD154" s="281" t="str">
        <f t="shared" si="16"/>
        <v/>
      </c>
      <c r="AE154" s="281" t="str">
        <f t="shared" si="17"/>
        <v/>
      </c>
      <c r="AF154" s="281" t="str">
        <f t="shared" si="18"/>
        <v/>
      </c>
    </row>
    <row r="155" spans="27:32" hidden="1" x14ac:dyDescent="0.2">
      <c r="AA155" s="281" t="str">
        <f t="shared" si="19"/>
        <v/>
      </c>
      <c r="AB155" s="281" t="str">
        <f t="shared" si="14"/>
        <v/>
      </c>
      <c r="AC155" s="281" t="str">
        <f t="shared" si="15"/>
        <v/>
      </c>
      <c r="AD155" s="281" t="str">
        <f t="shared" si="16"/>
        <v/>
      </c>
      <c r="AE155" s="281" t="str">
        <f t="shared" si="17"/>
        <v/>
      </c>
      <c r="AF155" s="281" t="str">
        <f t="shared" si="18"/>
        <v/>
      </c>
    </row>
    <row r="156" spans="27:32" hidden="1" x14ac:dyDescent="0.2">
      <c r="AA156" s="281" t="str">
        <f t="shared" si="19"/>
        <v/>
      </c>
      <c r="AB156" s="281" t="str">
        <f t="shared" si="14"/>
        <v/>
      </c>
      <c r="AC156" s="281" t="str">
        <f t="shared" si="15"/>
        <v/>
      </c>
      <c r="AD156" s="281" t="str">
        <f t="shared" si="16"/>
        <v/>
      </c>
      <c r="AE156" s="281" t="str">
        <f t="shared" si="17"/>
        <v/>
      </c>
      <c r="AF156" s="281" t="str">
        <f t="shared" si="18"/>
        <v/>
      </c>
    </row>
    <row r="157" spans="27:32" hidden="1" x14ac:dyDescent="0.2">
      <c r="AA157" s="281" t="str">
        <f t="shared" si="19"/>
        <v/>
      </c>
      <c r="AB157" s="281" t="str">
        <f t="shared" si="14"/>
        <v/>
      </c>
      <c r="AC157" s="281" t="str">
        <f t="shared" si="15"/>
        <v/>
      </c>
      <c r="AD157" s="281" t="str">
        <f t="shared" si="16"/>
        <v/>
      </c>
      <c r="AE157" s="281" t="str">
        <f t="shared" si="17"/>
        <v/>
      </c>
      <c r="AF157" s="281" t="str">
        <f t="shared" si="18"/>
        <v/>
      </c>
    </row>
    <row r="158" spans="27:32" hidden="1" x14ac:dyDescent="0.2">
      <c r="AA158" s="281" t="str">
        <f t="shared" si="19"/>
        <v/>
      </c>
      <c r="AB158" s="281" t="str">
        <f t="shared" si="14"/>
        <v/>
      </c>
      <c r="AC158" s="281" t="str">
        <f t="shared" si="15"/>
        <v/>
      </c>
      <c r="AD158" s="281" t="str">
        <f t="shared" si="16"/>
        <v/>
      </c>
      <c r="AE158" s="281" t="str">
        <f t="shared" si="17"/>
        <v/>
      </c>
      <c r="AF158" s="281" t="str">
        <f t="shared" si="18"/>
        <v/>
      </c>
    </row>
    <row r="159" spans="27:32" hidden="1" x14ac:dyDescent="0.2">
      <c r="AA159" s="281" t="str">
        <f t="shared" si="19"/>
        <v/>
      </c>
      <c r="AB159" s="281" t="str">
        <f t="shared" si="14"/>
        <v/>
      </c>
      <c r="AC159" s="281" t="str">
        <f t="shared" si="15"/>
        <v/>
      </c>
      <c r="AD159" s="281" t="str">
        <f t="shared" si="16"/>
        <v/>
      </c>
      <c r="AE159" s="281" t="str">
        <f t="shared" si="17"/>
        <v/>
      </c>
      <c r="AF159" s="281" t="str">
        <f t="shared" si="18"/>
        <v/>
      </c>
    </row>
    <row r="160" spans="27:32" hidden="1" x14ac:dyDescent="0.2">
      <c r="AA160" s="281" t="str">
        <f t="shared" si="19"/>
        <v/>
      </c>
      <c r="AB160" s="281" t="str">
        <f t="shared" si="14"/>
        <v/>
      </c>
      <c r="AC160" s="281" t="str">
        <f t="shared" si="15"/>
        <v/>
      </c>
      <c r="AD160" s="281" t="str">
        <f t="shared" si="16"/>
        <v/>
      </c>
      <c r="AE160" s="281" t="str">
        <f t="shared" si="17"/>
        <v/>
      </c>
      <c r="AF160" s="281" t="str">
        <f t="shared" si="18"/>
        <v/>
      </c>
    </row>
    <row r="161" spans="27:32" hidden="1" x14ac:dyDescent="0.2">
      <c r="AA161" s="281" t="str">
        <f t="shared" si="19"/>
        <v/>
      </c>
      <c r="AB161" s="281" t="str">
        <f t="shared" si="14"/>
        <v/>
      </c>
      <c r="AC161" s="281" t="str">
        <f t="shared" si="15"/>
        <v/>
      </c>
      <c r="AD161" s="281" t="str">
        <f t="shared" si="16"/>
        <v/>
      </c>
      <c r="AE161" s="281" t="str">
        <f t="shared" si="17"/>
        <v/>
      </c>
      <c r="AF161" s="281" t="str">
        <f t="shared" si="18"/>
        <v/>
      </c>
    </row>
    <row r="162" spans="27:32" hidden="1" x14ac:dyDescent="0.2">
      <c r="AA162" s="281" t="str">
        <f t="shared" si="19"/>
        <v/>
      </c>
      <c r="AB162" s="281" t="str">
        <f t="shared" si="14"/>
        <v/>
      </c>
      <c r="AC162" s="281" t="str">
        <f t="shared" si="15"/>
        <v/>
      </c>
      <c r="AD162" s="281" t="str">
        <f t="shared" si="16"/>
        <v/>
      </c>
      <c r="AE162" s="281" t="str">
        <f t="shared" si="17"/>
        <v/>
      </c>
      <c r="AF162" s="281" t="str">
        <f t="shared" si="18"/>
        <v/>
      </c>
    </row>
    <row r="163" spans="27:32" hidden="1" x14ac:dyDescent="0.2">
      <c r="AA163" s="281" t="str">
        <f t="shared" si="19"/>
        <v/>
      </c>
      <c r="AB163" s="281" t="str">
        <f t="shared" si="14"/>
        <v/>
      </c>
      <c r="AC163" s="281" t="str">
        <f t="shared" si="15"/>
        <v/>
      </c>
      <c r="AD163" s="281" t="str">
        <f t="shared" si="16"/>
        <v/>
      </c>
      <c r="AE163" s="281" t="str">
        <f t="shared" si="17"/>
        <v/>
      </c>
      <c r="AF163" s="281" t="str">
        <f t="shared" si="18"/>
        <v/>
      </c>
    </row>
    <row r="164" spans="27:32" hidden="1" x14ac:dyDescent="0.2">
      <c r="AA164" s="281" t="str">
        <f t="shared" si="19"/>
        <v/>
      </c>
      <c r="AB164" s="281" t="str">
        <f t="shared" si="14"/>
        <v/>
      </c>
      <c r="AC164" s="281" t="str">
        <f t="shared" si="15"/>
        <v/>
      </c>
      <c r="AD164" s="281" t="str">
        <f t="shared" si="16"/>
        <v/>
      </c>
      <c r="AE164" s="281" t="str">
        <f t="shared" si="17"/>
        <v/>
      </c>
      <c r="AF164" s="281" t="str">
        <f t="shared" si="18"/>
        <v/>
      </c>
    </row>
    <row r="165" spans="27:32" hidden="1" x14ac:dyDescent="0.2">
      <c r="AA165" s="281" t="str">
        <f t="shared" si="19"/>
        <v/>
      </c>
      <c r="AB165" s="281" t="str">
        <f t="shared" si="14"/>
        <v/>
      </c>
      <c r="AC165" s="281" t="str">
        <f t="shared" si="15"/>
        <v/>
      </c>
      <c r="AD165" s="281" t="str">
        <f t="shared" si="16"/>
        <v/>
      </c>
      <c r="AE165" s="281" t="str">
        <f t="shared" si="17"/>
        <v/>
      </c>
      <c r="AF165" s="281" t="str">
        <f t="shared" si="18"/>
        <v/>
      </c>
    </row>
    <row r="166" spans="27:32" hidden="1" x14ac:dyDescent="0.2">
      <c r="AA166" s="281" t="str">
        <f t="shared" si="19"/>
        <v/>
      </c>
      <c r="AB166" s="281" t="str">
        <f t="shared" si="14"/>
        <v/>
      </c>
      <c r="AC166" s="281" t="str">
        <f t="shared" si="15"/>
        <v/>
      </c>
      <c r="AD166" s="281" t="str">
        <f t="shared" si="16"/>
        <v/>
      </c>
      <c r="AE166" s="281" t="str">
        <f t="shared" si="17"/>
        <v/>
      </c>
      <c r="AF166" s="281" t="str">
        <f t="shared" si="18"/>
        <v/>
      </c>
    </row>
    <row r="167" spans="27:32" hidden="1" x14ac:dyDescent="0.2">
      <c r="AA167" s="281" t="str">
        <f t="shared" si="19"/>
        <v/>
      </c>
      <c r="AB167" s="281" t="str">
        <f t="shared" si="14"/>
        <v/>
      </c>
      <c r="AC167" s="281" t="str">
        <f t="shared" si="15"/>
        <v/>
      </c>
      <c r="AD167" s="281" t="str">
        <f t="shared" si="16"/>
        <v/>
      </c>
      <c r="AE167" s="281" t="str">
        <f t="shared" si="17"/>
        <v/>
      </c>
      <c r="AF167" s="281" t="str">
        <f t="shared" si="18"/>
        <v/>
      </c>
    </row>
    <row r="168" spans="27:32" hidden="1" x14ac:dyDescent="0.2">
      <c r="AA168" s="281" t="str">
        <f t="shared" si="19"/>
        <v/>
      </c>
      <c r="AB168" s="281" t="str">
        <f t="shared" si="14"/>
        <v/>
      </c>
      <c r="AC168" s="281" t="str">
        <f t="shared" si="15"/>
        <v/>
      </c>
      <c r="AD168" s="281" t="str">
        <f t="shared" si="16"/>
        <v/>
      </c>
      <c r="AE168" s="281" t="str">
        <f t="shared" si="17"/>
        <v/>
      </c>
      <c r="AF168" s="281" t="str">
        <f t="shared" si="18"/>
        <v/>
      </c>
    </row>
    <row r="169" spans="27:32" hidden="1" x14ac:dyDescent="0.2">
      <c r="AA169" s="281" t="str">
        <f t="shared" si="19"/>
        <v/>
      </c>
      <c r="AB169" s="281" t="str">
        <f t="shared" si="14"/>
        <v/>
      </c>
      <c r="AC169" s="281" t="str">
        <f t="shared" si="15"/>
        <v/>
      </c>
      <c r="AD169" s="281" t="str">
        <f t="shared" si="16"/>
        <v/>
      </c>
      <c r="AE169" s="281" t="str">
        <f t="shared" si="17"/>
        <v/>
      </c>
      <c r="AF169" s="281" t="str">
        <f t="shared" si="18"/>
        <v/>
      </c>
    </row>
    <row r="170" spans="27:32" hidden="1" x14ac:dyDescent="0.2">
      <c r="AA170" s="281" t="str">
        <f t="shared" si="19"/>
        <v/>
      </c>
      <c r="AB170" s="281" t="str">
        <f t="shared" si="14"/>
        <v/>
      </c>
      <c r="AC170" s="281" t="str">
        <f t="shared" si="15"/>
        <v/>
      </c>
      <c r="AD170" s="281" t="str">
        <f t="shared" si="16"/>
        <v/>
      </c>
      <c r="AE170" s="281" t="str">
        <f t="shared" si="17"/>
        <v/>
      </c>
      <c r="AF170" s="281" t="str">
        <f t="shared" si="18"/>
        <v/>
      </c>
    </row>
    <row r="171" spans="27:32" hidden="1" x14ac:dyDescent="0.2">
      <c r="AA171" s="281" t="str">
        <f t="shared" si="19"/>
        <v/>
      </c>
      <c r="AB171" s="281" t="str">
        <f t="shared" si="14"/>
        <v/>
      </c>
      <c r="AC171" s="281" t="str">
        <f t="shared" si="15"/>
        <v/>
      </c>
      <c r="AD171" s="281" t="str">
        <f t="shared" si="16"/>
        <v/>
      </c>
      <c r="AE171" s="281" t="str">
        <f t="shared" si="17"/>
        <v/>
      </c>
      <c r="AF171" s="281" t="str">
        <f t="shared" si="18"/>
        <v/>
      </c>
    </row>
    <row r="172" spans="27:32" hidden="1" x14ac:dyDescent="0.2">
      <c r="AA172" s="281" t="str">
        <f t="shared" si="19"/>
        <v/>
      </c>
      <c r="AB172" s="281" t="str">
        <f t="shared" si="14"/>
        <v/>
      </c>
      <c r="AC172" s="281" t="str">
        <f t="shared" si="15"/>
        <v/>
      </c>
      <c r="AD172" s="281" t="str">
        <f t="shared" si="16"/>
        <v/>
      </c>
      <c r="AE172" s="281" t="str">
        <f t="shared" si="17"/>
        <v/>
      </c>
      <c r="AF172" s="281" t="str">
        <f t="shared" si="18"/>
        <v/>
      </c>
    </row>
    <row r="173" spans="27:32" hidden="1" x14ac:dyDescent="0.2">
      <c r="AA173" s="281" t="str">
        <f t="shared" si="19"/>
        <v/>
      </c>
      <c r="AB173" s="281" t="str">
        <f t="shared" si="14"/>
        <v/>
      </c>
      <c r="AC173" s="281" t="str">
        <f t="shared" si="15"/>
        <v/>
      </c>
      <c r="AD173" s="281" t="str">
        <f t="shared" si="16"/>
        <v/>
      </c>
      <c r="AE173" s="281" t="str">
        <f t="shared" si="17"/>
        <v/>
      </c>
      <c r="AF173" s="281" t="str">
        <f t="shared" si="18"/>
        <v/>
      </c>
    </row>
    <row r="174" spans="27:32" hidden="1" x14ac:dyDescent="0.2">
      <c r="AA174" s="281" t="str">
        <f t="shared" si="19"/>
        <v/>
      </c>
      <c r="AB174" s="281" t="str">
        <f t="shared" si="14"/>
        <v/>
      </c>
      <c r="AC174" s="281" t="str">
        <f t="shared" si="15"/>
        <v/>
      </c>
      <c r="AD174" s="281" t="str">
        <f t="shared" si="16"/>
        <v/>
      </c>
      <c r="AE174" s="281" t="str">
        <f t="shared" si="17"/>
        <v/>
      </c>
      <c r="AF174" s="281" t="str">
        <f t="shared" si="18"/>
        <v/>
      </c>
    </row>
    <row r="175" spans="27:32" hidden="1" x14ac:dyDescent="0.2">
      <c r="AA175" s="281" t="str">
        <f t="shared" si="19"/>
        <v/>
      </c>
      <c r="AB175" s="281" t="str">
        <f t="shared" si="14"/>
        <v/>
      </c>
      <c r="AC175" s="281" t="str">
        <f t="shared" si="15"/>
        <v/>
      </c>
      <c r="AD175" s="281" t="str">
        <f t="shared" si="16"/>
        <v/>
      </c>
      <c r="AE175" s="281" t="str">
        <f t="shared" si="17"/>
        <v/>
      </c>
      <c r="AF175" s="281" t="str">
        <f t="shared" si="18"/>
        <v/>
      </c>
    </row>
    <row r="176" spans="27:32" hidden="1" x14ac:dyDescent="0.2">
      <c r="AA176" s="281" t="str">
        <f t="shared" si="19"/>
        <v/>
      </c>
      <c r="AB176" s="281" t="str">
        <f t="shared" si="14"/>
        <v/>
      </c>
      <c r="AC176" s="281" t="str">
        <f t="shared" si="15"/>
        <v/>
      </c>
      <c r="AD176" s="281" t="str">
        <f t="shared" si="16"/>
        <v/>
      </c>
      <c r="AE176" s="281" t="str">
        <f t="shared" si="17"/>
        <v/>
      </c>
      <c r="AF176" s="281" t="str">
        <f t="shared" si="18"/>
        <v/>
      </c>
    </row>
    <row r="177" spans="27:32" hidden="1" x14ac:dyDescent="0.2">
      <c r="AA177" s="281" t="str">
        <f t="shared" si="19"/>
        <v/>
      </c>
      <c r="AB177" s="281" t="str">
        <f t="shared" si="14"/>
        <v/>
      </c>
      <c r="AC177" s="281" t="str">
        <f t="shared" si="15"/>
        <v/>
      </c>
      <c r="AD177" s="281" t="str">
        <f t="shared" si="16"/>
        <v/>
      </c>
      <c r="AE177" s="281" t="str">
        <f t="shared" si="17"/>
        <v/>
      </c>
      <c r="AF177" s="281" t="str">
        <f t="shared" si="18"/>
        <v/>
      </c>
    </row>
    <row r="178" spans="27:32" hidden="1" x14ac:dyDescent="0.2">
      <c r="AA178" s="281" t="str">
        <f t="shared" si="19"/>
        <v/>
      </c>
      <c r="AB178" s="281" t="str">
        <f t="shared" si="14"/>
        <v/>
      </c>
      <c r="AC178" s="281" t="str">
        <f t="shared" si="15"/>
        <v/>
      </c>
      <c r="AD178" s="281" t="str">
        <f t="shared" si="16"/>
        <v/>
      </c>
      <c r="AE178" s="281" t="str">
        <f t="shared" si="17"/>
        <v/>
      </c>
      <c r="AF178" s="281" t="str">
        <f t="shared" si="18"/>
        <v/>
      </c>
    </row>
    <row r="179" spans="27:32" hidden="1" x14ac:dyDescent="0.2">
      <c r="AA179" s="281" t="str">
        <f t="shared" si="19"/>
        <v/>
      </c>
      <c r="AB179" s="281" t="str">
        <f t="shared" si="14"/>
        <v/>
      </c>
      <c r="AC179" s="281" t="str">
        <f t="shared" si="15"/>
        <v/>
      </c>
      <c r="AD179" s="281" t="str">
        <f t="shared" si="16"/>
        <v/>
      </c>
      <c r="AE179" s="281" t="str">
        <f t="shared" si="17"/>
        <v/>
      </c>
      <c r="AF179" s="281" t="str">
        <f t="shared" si="18"/>
        <v/>
      </c>
    </row>
    <row r="180" spans="27:32" hidden="1" x14ac:dyDescent="0.2">
      <c r="AA180" s="281" t="str">
        <f t="shared" si="19"/>
        <v/>
      </c>
      <c r="AB180" s="281" t="str">
        <f t="shared" si="14"/>
        <v/>
      </c>
      <c r="AC180" s="281" t="str">
        <f t="shared" si="15"/>
        <v/>
      </c>
      <c r="AD180" s="281" t="str">
        <f t="shared" si="16"/>
        <v/>
      </c>
      <c r="AE180" s="281" t="str">
        <f t="shared" si="17"/>
        <v/>
      </c>
      <c r="AF180" s="281" t="str">
        <f t="shared" si="18"/>
        <v/>
      </c>
    </row>
    <row r="181" spans="27:32" hidden="1" x14ac:dyDescent="0.2">
      <c r="AA181" s="281" t="str">
        <f t="shared" si="19"/>
        <v/>
      </c>
      <c r="AB181" s="281" t="str">
        <f t="shared" si="14"/>
        <v/>
      </c>
      <c r="AC181" s="281" t="str">
        <f t="shared" si="15"/>
        <v/>
      </c>
      <c r="AD181" s="281" t="str">
        <f t="shared" si="16"/>
        <v/>
      </c>
      <c r="AE181" s="281" t="str">
        <f t="shared" si="17"/>
        <v/>
      </c>
      <c r="AF181" s="281" t="str">
        <f t="shared" si="18"/>
        <v/>
      </c>
    </row>
    <row r="182" spans="27:32" hidden="1" x14ac:dyDescent="0.2">
      <c r="AA182" s="281" t="str">
        <f t="shared" si="19"/>
        <v/>
      </c>
      <c r="AB182" s="281" t="str">
        <f t="shared" si="14"/>
        <v/>
      </c>
      <c r="AC182" s="281" t="str">
        <f t="shared" si="15"/>
        <v/>
      </c>
      <c r="AD182" s="281" t="str">
        <f t="shared" si="16"/>
        <v/>
      </c>
      <c r="AE182" s="281" t="str">
        <f t="shared" si="17"/>
        <v/>
      </c>
      <c r="AF182" s="281" t="str">
        <f t="shared" si="18"/>
        <v/>
      </c>
    </row>
    <row r="183" spans="27:32" hidden="1" x14ac:dyDescent="0.2">
      <c r="AA183" s="281" t="str">
        <f t="shared" si="19"/>
        <v/>
      </c>
      <c r="AB183" s="281" t="str">
        <f t="shared" si="14"/>
        <v/>
      </c>
      <c r="AC183" s="281" t="str">
        <f t="shared" si="15"/>
        <v/>
      </c>
      <c r="AD183" s="281" t="str">
        <f t="shared" si="16"/>
        <v/>
      </c>
      <c r="AE183" s="281" t="str">
        <f t="shared" si="17"/>
        <v/>
      </c>
      <c r="AF183" s="281" t="str">
        <f t="shared" si="18"/>
        <v/>
      </c>
    </row>
    <row r="184" spans="27:32" hidden="1" x14ac:dyDescent="0.2">
      <c r="AA184" s="281" t="str">
        <f t="shared" si="19"/>
        <v/>
      </c>
      <c r="AB184" s="281" t="str">
        <f t="shared" si="14"/>
        <v/>
      </c>
      <c r="AC184" s="281" t="str">
        <f t="shared" si="15"/>
        <v/>
      </c>
      <c r="AD184" s="281" t="str">
        <f t="shared" si="16"/>
        <v/>
      </c>
      <c r="AE184" s="281" t="str">
        <f t="shared" si="17"/>
        <v/>
      </c>
      <c r="AF184" s="281" t="str">
        <f t="shared" si="18"/>
        <v/>
      </c>
    </row>
    <row r="185" spans="27:32" hidden="1" x14ac:dyDescent="0.2">
      <c r="AA185" s="281" t="str">
        <f t="shared" si="19"/>
        <v/>
      </c>
      <c r="AB185" s="281" t="str">
        <f t="shared" si="14"/>
        <v/>
      </c>
      <c r="AC185" s="281" t="str">
        <f t="shared" si="15"/>
        <v/>
      </c>
      <c r="AD185" s="281" t="str">
        <f t="shared" si="16"/>
        <v/>
      </c>
      <c r="AE185" s="281" t="str">
        <f t="shared" si="17"/>
        <v/>
      </c>
      <c r="AF185" s="281" t="str">
        <f t="shared" si="18"/>
        <v/>
      </c>
    </row>
    <row r="186" spans="27:32" hidden="1" x14ac:dyDescent="0.2">
      <c r="AA186" s="281" t="str">
        <f t="shared" si="19"/>
        <v/>
      </c>
      <c r="AB186" s="281" t="str">
        <f t="shared" si="14"/>
        <v/>
      </c>
      <c r="AC186" s="281" t="str">
        <f t="shared" si="15"/>
        <v/>
      </c>
      <c r="AD186" s="281" t="str">
        <f t="shared" si="16"/>
        <v/>
      </c>
      <c r="AE186" s="281" t="str">
        <f t="shared" si="17"/>
        <v/>
      </c>
      <c r="AF186" s="281" t="str">
        <f t="shared" si="18"/>
        <v/>
      </c>
    </row>
    <row r="187" spans="27:32" hidden="1" x14ac:dyDescent="0.2">
      <c r="AA187" s="281" t="str">
        <f t="shared" si="19"/>
        <v/>
      </c>
      <c r="AB187" s="281" t="str">
        <f t="shared" si="14"/>
        <v/>
      </c>
      <c r="AC187" s="281" t="str">
        <f t="shared" si="15"/>
        <v/>
      </c>
      <c r="AD187" s="281" t="str">
        <f t="shared" si="16"/>
        <v/>
      </c>
      <c r="AE187" s="281" t="str">
        <f t="shared" si="17"/>
        <v/>
      </c>
      <c r="AF187" s="281" t="str">
        <f t="shared" si="18"/>
        <v/>
      </c>
    </row>
    <row r="188" spans="27:32" hidden="1" x14ac:dyDescent="0.2">
      <c r="AA188" s="281" t="str">
        <f t="shared" si="19"/>
        <v/>
      </c>
      <c r="AB188" s="281" t="str">
        <f t="shared" si="14"/>
        <v/>
      </c>
      <c r="AC188" s="281" t="str">
        <f t="shared" si="15"/>
        <v/>
      </c>
      <c r="AD188" s="281" t="str">
        <f t="shared" si="16"/>
        <v/>
      </c>
      <c r="AE188" s="281" t="str">
        <f t="shared" si="17"/>
        <v/>
      </c>
      <c r="AF188" s="281" t="str">
        <f t="shared" si="18"/>
        <v/>
      </c>
    </row>
    <row r="189" spans="27:32" hidden="1" x14ac:dyDescent="0.2">
      <c r="AA189" s="281" t="str">
        <f t="shared" si="19"/>
        <v/>
      </c>
      <c r="AB189" s="281" t="str">
        <f t="shared" si="14"/>
        <v/>
      </c>
      <c r="AC189" s="281" t="str">
        <f t="shared" si="15"/>
        <v/>
      </c>
      <c r="AD189" s="281" t="str">
        <f t="shared" si="16"/>
        <v/>
      </c>
      <c r="AE189" s="281" t="str">
        <f t="shared" si="17"/>
        <v/>
      </c>
      <c r="AF189" s="281" t="str">
        <f t="shared" si="18"/>
        <v/>
      </c>
    </row>
    <row r="190" spans="27:32" hidden="1" x14ac:dyDescent="0.2">
      <c r="AA190" s="281" t="str">
        <f t="shared" si="19"/>
        <v/>
      </c>
      <c r="AB190" s="281" t="str">
        <f t="shared" si="14"/>
        <v/>
      </c>
      <c r="AC190" s="281" t="str">
        <f t="shared" si="15"/>
        <v/>
      </c>
      <c r="AD190" s="281" t="str">
        <f t="shared" si="16"/>
        <v/>
      </c>
      <c r="AE190" s="281" t="str">
        <f t="shared" si="17"/>
        <v/>
      </c>
      <c r="AF190" s="281" t="str">
        <f t="shared" si="18"/>
        <v/>
      </c>
    </row>
    <row r="191" spans="27:32" hidden="1" x14ac:dyDescent="0.2">
      <c r="AA191" s="281" t="str">
        <f t="shared" si="19"/>
        <v/>
      </c>
      <c r="AB191" s="281" t="str">
        <f t="shared" si="14"/>
        <v/>
      </c>
      <c r="AC191" s="281" t="str">
        <f t="shared" si="15"/>
        <v/>
      </c>
      <c r="AD191" s="281" t="str">
        <f t="shared" si="16"/>
        <v/>
      </c>
      <c r="AE191" s="281" t="str">
        <f t="shared" si="17"/>
        <v/>
      </c>
      <c r="AF191" s="281" t="str">
        <f t="shared" si="18"/>
        <v/>
      </c>
    </row>
    <row r="192" spans="27:32" hidden="1" x14ac:dyDescent="0.2">
      <c r="AA192" s="281" t="str">
        <f t="shared" si="19"/>
        <v/>
      </c>
      <c r="AB192" s="281" t="str">
        <f t="shared" si="14"/>
        <v/>
      </c>
      <c r="AC192" s="281" t="str">
        <f t="shared" si="15"/>
        <v/>
      </c>
      <c r="AD192" s="281" t="str">
        <f t="shared" si="16"/>
        <v/>
      </c>
      <c r="AE192" s="281" t="str">
        <f t="shared" si="17"/>
        <v/>
      </c>
      <c r="AF192" s="281" t="str">
        <f t="shared" si="18"/>
        <v/>
      </c>
    </row>
    <row r="193" spans="27:32" hidden="1" x14ac:dyDescent="0.2">
      <c r="AA193" s="281" t="str">
        <f t="shared" si="19"/>
        <v/>
      </c>
      <c r="AB193" s="281" t="str">
        <f t="shared" si="14"/>
        <v/>
      </c>
      <c r="AC193" s="281" t="str">
        <f t="shared" si="15"/>
        <v/>
      </c>
      <c r="AD193" s="281" t="str">
        <f t="shared" si="16"/>
        <v/>
      </c>
      <c r="AE193" s="281" t="str">
        <f t="shared" si="17"/>
        <v/>
      </c>
      <c r="AF193" s="281" t="str">
        <f t="shared" si="18"/>
        <v/>
      </c>
    </row>
    <row r="194" spans="27:32" hidden="1" x14ac:dyDescent="0.2">
      <c r="AA194" s="281" t="str">
        <f t="shared" si="19"/>
        <v/>
      </c>
      <c r="AB194" s="281" t="str">
        <f t="shared" si="14"/>
        <v/>
      </c>
      <c r="AC194" s="281" t="str">
        <f t="shared" si="15"/>
        <v/>
      </c>
      <c r="AD194" s="281" t="str">
        <f t="shared" si="16"/>
        <v/>
      </c>
      <c r="AE194" s="281" t="str">
        <f t="shared" si="17"/>
        <v/>
      </c>
      <c r="AF194" s="281" t="str">
        <f t="shared" si="18"/>
        <v/>
      </c>
    </row>
    <row r="195" spans="27:32" hidden="1" x14ac:dyDescent="0.2">
      <c r="AA195" s="281" t="str">
        <f t="shared" si="19"/>
        <v/>
      </c>
      <c r="AB195" s="281" t="str">
        <f t="shared" si="14"/>
        <v/>
      </c>
      <c r="AC195" s="281" t="str">
        <f t="shared" si="15"/>
        <v/>
      </c>
      <c r="AD195" s="281" t="str">
        <f t="shared" si="16"/>
        <v/>
      </c>
      <c r="AE195" s="281" t="str">
        <f t="shared" si="17"/>
        <v/>
      </c>
      <c r="AF195" s="281" t="str">
        <f t="shared" si="18"/>
        <v/>
      </c>
    </row>
    <row r="196" spans="27:32" hidden="1" x14ac:dyDescent="0.2">
      <c r="AA196" s="281" t="str">
        <f t="shared" si="19"/>
        <v/>
      </c>
      <c r="AB196" s="281" t="str">
        <f t="shared" si="14"/>
        <v/>
      </c>
      <c r="AC196" s="281" t="str">
        <f t="shared" si="15"/>
        <v/>
      </c>
      <c r="AD196" s="281" t="str">
        <f t="shared" si="16"/>
        <v/>
      </c>
      <c r="AE196" s="281" t="str">
        <f t="shared" si="17"/>
        <v/>
      </c>
      <c r="AF196" s="281" t="str">
        <f t="shared" si="18"/>
        <v/>
      </c>
    </row>
    <row r="197" spans="27:32" hidden="1" x14ac:dyDescent="0.2">
      <c r="AA197" s="281" t="str">
        <f t="shared" si="19"/>
        <v/>
      </c>
      <c r="AB197" s="281" t="str">
        <f t="shared" si="14"/>
        <v/>
      </c>
      <c r="AC197" s="281" t="str">
        <f t="shared" si="15"/>
        <v/>
      </c>
      <c r="AD197" s="281" t="str">
        <f t="shared" si="16"/>
        <v/>
      </c>
      <c r="AE197" s="281" t="str">
        <f t="shared" si="17"/>
        <v/>
      </c>
      <c r="AF197" s="281" t="str">
        <f t="shared" si="18"/>
        <v/>
      </c>
    </row>
    <row r="198" spans="27:32" hidden="1" x14ac:dyDescent="0.2">
      <c r="AA198" s="281" t="str">
        <f t="shared" si="19"/>
        <v/>
      </c>
      <c r="AB198" s="281" t="str">
        <f t="shared" si="14"/>
        <v/>
      </c>
      <c r="AC198" s="281" t="str">
        <f t="shared" si="15"/>
        <v/>
      </c>
      <c r="AD198" s="281" t="str">
        <f t="shared" si="16"/>
        <v/>
      </c>
      <c r="AE198" s="281" t="str">
        <f t="shared" si="17"/>
        <v/>
      </c>
      <c r="AF198" s="281" t="str">
        <f t="shared" si="18"/>
        <v/>
      </c>
    </row>
    <row r="199" spans="27:32" hidden="1" x14ac:dyDescent="0.2">
      <c r="AA199" s="281" t="str">
        <f t="shared" si="19"/>
        <v/>
      </c>
      <c r="AB199" s="281" t="str">
        <f t="shared" ref="AB199:AB262" si="20">IF(NOT(ISBLANK(F199)),L199,"")</f>
        <v/>
      </c>
      <c r="AC199" s="281" t="str">
        <f t="shared" ref="AC199:AC262" si="21">IF(NOT(ISBLANK(G199)),L199,"")</f>
        <v/>
      </c>
      <c r="AD199" s="281" t="str">
        <f t="shared" ref="AD199:AD262" si="22">IF(NOT(ISBLANK(H199)),L199,"")</f>
        <v/>
      </c>
      <c r="AE199" s="281" t="str">
        <f t="shared" ref="AE199:AE262" si="23">IF(NOT(ISBLANK(I199)),L199,"")</f>
        <v/>
      </c>
      <c r="AF199" s="281" t="str">
        <f t="shared" ref="AF199:AF262" si="24">IF(NOT(ISBLANK(J199)),L199,"")</f>
        <v/>
      </c>
    </row>
    <row r="200" spans="27:32" hidden="1" x14ac:dyDescent="0.2">
      <c r="AA200" s="281" t="str">
        <f t="shared" ref="AA200:AA263" si="25">IF(NOT(ISBLANK(E200)),L200,"")</f>
        <v/>
      </c>
      <c r="AB200" s="281" t="str">
        <f t="shared" si="20"/>
        <v/>
      </c>
      <c r="AC200" s="281" t="str">
        <f t="shared" si="21"/>
        <v/>
      </c>
      <c r="AD200" s="281" t="str">
        <f t="shared" si="22"/>
        <v/>
      </c>
      <c r="AE200" s="281" t="str">
        <f t="shared" si="23"/>
        <v/>
      </c>
      <c r="AF200" s="281" t="str">
        <f t="shared" si="24"/>
        <v/>
      </c>
    </row>
    <row r="201" spans="27:32" hidden="1" x14ac:dyDescent="0.2">
      <c r="AA201" s="281" t="str">
        <f t="shared" si="25"/>
        <v/>
      </c>
      <c r="AB201" s="281" t="str">
        <f t="shared" si="20"/>
        <v/>
      </c>
      <c r="AC201" s="281" t="str">
        <f t="shared" si="21"/>
        <v/>
      </c>
      <c r="AD201" s="281" t="str">
        <f t="shared" si="22"/>
        <v/>
      </c>
      <c r="AE201" s="281" t="str">
        <f t="shared" si="23"/>
        <v/>
      </c>
      <c r="AF201" s="281" t="str">
        <f t="shared" si="24"/>
        <v/>
      </c>
    </row>
    <row r="202" spans="27:32" hidden="1" x14ac:dyDescent="0.2">
      <c r="AA202" s="281" t="str">
        <f t="shared" si="25"/>
        <v/>
      </c>
      <c r="AB202" s="281" t="str">
        <f t="shared" si="20"/>
        <v/>
      </c>
      <c r="AC202" s="281" t="str">
        <f t="shared" si="21"/>
        <v/>
      </c>
      <c r="AD202" s="281" t="str">
        <f t="shared" si="22"/>
        <v/>
      </c>
      <c r="AE202" s="281" t="str">
        <f t="shared" si="23"/>
        <v/>
      </c>
      <c r="AF202" s="281" t="str">
        <f t="shared" si="24"/>
        <v/>
      </c>
    </row>
    <row r="203" spans="27:32" hidden="1" x14ac:dyDescent="0.2">
      <c r="AA203" s="281" t="str">
        <f t="shared" si="25"/>
        <v/>
      </c>
      <c r="AB203" s="281" t="str">
        <f t="shared" si="20"/>
        <v/>
      </c>
      <c r="AC203" s="281" t="str">
        <f t="shared" si="21"/>
        <v/>
      </c>
      <c r="AD203" s="281" t="str">
        <f t="shared" si="22"/>
        <v/>
      </c>
      <c r="AE203" s="281" t="str">
        <f t="shared" si="23"/>
        <v/>
      </c>
      <c r="AF203" s="281" t="str">
        <f t="shared" si="24"/>
        <v/>
      </c>
    </row>
    <row r="204" spans="27:32" hidden="1" x14ac:dyDescent="0.2">
      <c r="AA204" s="281" t="str">
        <f t="shared" si="25"/>
        <v/>
      </c>
      <c r="AB204" s="281" t="str">
        <f t="shared" si="20"/>
        <v/>
      </c>
      <c r="AC204" s="281" t="str">
        <f t="shared" si="21"/>
        <v/>
      </c>
      <c r="AD204" s="281" t="str">
        <f t="shared" si="22"/>
        <v/>
      </c>
      <c r="AE204" s="281" t="str">
        <f t="shared" si="23"/>
        <v/>
      </c>
      <c r="AF204" s="281" t="str">
        <f t="shared" si="24"/>
        <v/>
      </c>
    </row>
    <row r="205" spans="27:32" hidden="1" x14ac:dyDescent="0.2">
      <c r="AA205" s="281" t="str">
        <f t="shared" si="25"/>
        <v/>
      </c>
      <c r="AB205" s="281" t="str">
        <f t="shared" si="20"/>
        <v/>
      </c>
      <c r="AC205" s="281" t="str">
        <f t="shared" si="21"/>
        <v/>
      </c>
      <c r="AD205" s="281" t="str">
        <f t="shared" si="22"/>
        <v/>
      </c>
      <c r="AE205" s="281" t="str">
        <f t="shared" si="23"/>
        <v/>
      </c>
      <c r="AF205" s="281" t="str">
        <f t="shared" si="24"/>
        <v/>
      </c>
    </row>
    <row r="206" spans="27:32" hidden="1" x14ac:dyDescent="0.2">
      <c r="AA206" s="281" t="str">
        <f t="shared" si="25"/>
        <v/>
      </c>
      <c r="AB206" s="281" t="str">
        <f t="shared" si="20"/>
        <v/>
      </c>
      <c r="AC206" s="281" t="str">
        <f t="shared" si="21"/>
        <v/>
      </c>
      <c r="AD206" s="281" t="str">
        <f t="shared" si="22"/>
        <v/>
      </c>
      <c r="AE206" s="281" t="str">
        <f t="shared" si="23"/>
        <v/>
      </c>
      <c r="AF206" s="281" t="str">
        <f t="shared" si="24"/>
        <v/>
      </c>
    </row>
    <row r="207" spans="27:32" hidden="1" x14ac:dyDescent="0.2">
      <c r="AA207" s="281" t="str">
        <f t="shared" si="25"/>
        <v/>
      </c>
      <c r="AB207" s="281" t="str">
        <f t="shared" si="20"/>
        <v/>
      </c>
      <c r="AC207" s="281" t="str">
        <f t="shared" si="21"/>
        <v/>
      </c>
      <c r="AD207" s="281" t="str">
        <f t="shared" si="22"/>
        <v/>
      </c>
      <c r="AE207" s="281" t="str">
        <f t="shared" si="23"/>
        <v/>
      </c>
      <c r="AF207" s="281" t="str">
        <f t="shared" si="24"/>
        <v/>
      </c>
    </row>
    <row r="208" spans="27:32" hidden="1" x14ac:dyDescent="0.2">
      <c r="AA208" s="281" t="str">
        <f t="shared" si="25"/>
        <v/>
      </c>
      <c r="AB208" s="281" t="str">
        <f t="shared" si="20"/>
        <v/>
      </c>
      <c r="AC208" s="281" t="str">
        <f t="shared" si="21"/>
        <v/>
      </c>
      <c r="AD208" s="281" t="str">
        <f t="shared" si="22"/>
        <v/>
      </c>
      <c r="AE208" s="281" t="str">
        <f t="shared" si="23"/>
        <v/>
      </c>
      <c r="AF208" s="281" t="str">
        <f t="shared" si="24"/>
        <v/>
      </c>
    </row>
    <row r="209" spans="27:32" hidden="1" x14ac:dyDescent="0.2">
      <c r="AA209" s="281" t="str">
        <f t="shared" si="25"/>
        <v/>
      </c>
      <c r="AB209" s="281" t="str">
        <f t="shared" si="20"/>
        <v/>
      </c>
      <c r="AC209" s="281" t="str">
        <f t="shared" si="21"/>
        <v/>
      </c>
      <c r="AD209" s="281" t="str">
        <f t="shared" si="22"/>
        <v/>
      </c>
      <c r="AE209" s="281" t="str">
        <f t="shared" si="23"/>
        <v/>
      </c>
      <c r="AF209" s="281" t="str">
        <f t="shared" si="24"/>
        <v/>
      </c>
    </row>
    <row r="210" spans="27:32" hidden="1" x14ac:dyDescent="0.2">
      <c r="AA210" s="281" t="str">
        <f t="shared" si="25"/>
        <v/>
      </c>
      <c r="AB210" s="281" t="str">
        <f t="shared" si="20"/>
        <v/>
      </c>
      <c r="AC210" s="281" t="str">
        <f t="shared" si="21"/>
        <v/>
      </c>
      <c r="AD210" s="281" t="str">
        <f t="shared" si="22"/>
        <v/>
      </c>
      <c r="AE210" s="281" t="str">
        <f t="shared" si="23"/>
        <v/>
      </c>
      <c r="AF210" s="281" t="str">
        <f t="shared" si="24"/>
        <v/>
      </c>
    </row>
    <row r="211" spans="27:32" hidden="1" x14ac:dyDescent="0.2">
      <c r="AA211" s="281" t="str">
        <f t="shared" si="25"/>
        <v/>
      </c>
      <c r="AB211" s="281" t="str">
        <f t="shared" si="20"/>
        <v/>
      </c>
      <c r="AC211" s="281" t="str">
        <f t="shared" si="21"/>
        <v/>
      </c>
      <c r="AD211" s="281" t="str">
        <f t="shared" si="22"/>
        <v/>
      </c>
      <c r="AE211" s="281" t="str">
        <f t="shared" si="23"/>
        <v/>
      </c>
      <c r="AF211" s="281" t="str">
        <f t="shared" si="24"/>
        <v/>
      </c>
    </row>
    <row r="212" spans="27:32" hidden="1" x14ac:dyDescent="0.2">
      <c r="AA212" s="281" t="str">
        <f t="shared" si="25"/>
        <v/>
      </c>
      <c r="AB212" s="281" t="str">
        <f t="shared" si="20"/>
        <v/>
      </c>
      <c r="AC212" s="281" t="str">
        <f t="shared" si="21"/>
        <v/>
      </c>
      <c r="AD212" s="281" t="str">
        <f t="shared" si="22"/>
        <v/>
      </c>
      <c r="AE212" s="281" t="str">
        <f t="shared" si="23"/>
        <v/>
      </c>
      <c r="AF212" s="281" t="str">
        <f t="shared" si="24"/>
        <v/>
      </c>
    </row>
    <row r="213" spans="27:32" hidden="1" x14ac:dyDescent="0.2">
      <c r="AA213" s="281" t="str">
        <f t="shared" si="25"/>
        <v/>
      </c>
      <c r="AB213" s="281" t="str">
        <f t="shared" si="20"/>
        <v/>
      </c>
      <c r="AC213" s="281" t="str">
        <f t="shared" si="21"/>
        <v/>
      </c>
      <c r="AD213" s="281" t="str">
        <f t="shared" si="22"/>
        <v/>
      </c>
      <c r="AE213" s="281" t="str">
        <f t="shared" si="23"/>
        <v/>
      </c>
      <c r="AF213" s="281" t="str">
        <f t="shared" si="24"/>
        <v/>
      </c>
    </row>
    <row r="214" spans="27:32" hidden="1" x14ac:dyDescent="0.2">
      <c r="AA214" s="281" t="str">
        <f t="shared" si="25"/>
        <v/>
      </c>
      <c r="AB214" s="281" t="str">
        <f t="shared" si="20"/>
        <v/>
      </c>
      <c r="AC214" s="281" t="str">
        <f t="shared" si="21"/>
        <v/>
      </c>
      <c r="AD214" s="281" t="str">
        <f t="shared" si="22"/>
        <v/>
      </c>
      <c r="AE214" s="281" t="str">
        <f t="shared" si="23"/>
        <v/>
      </c>
      <c r="AF214" s="281" t="str">
        <f t="shared" si="24"/>
        <v/>
      </c>
    </row>
    <row r="215" spans="27:32" hidden="1" x14ac:dyDescent="0.2">
      <c r="AA215" s="281" t="str">
        <f t="shared" si="25"/>
        <v/>
      </c>
      <c r="AB215" s="281" t="str">
        <f t="shared" si="20"/>
        <v/>
      </c>
      <c r="AC215" s="281" t="str">
        <f t="shared" si="21"/>
        <v/>
      </c>
      <c r="AD215" s="281" t="str">
        <f t="shared" si="22"/>
        <v/>
      </c>
      <c r="AE215" s="281" t="str">
        <f t="shared" si="23"/>
        <v/>
      </c>
      <c r="AF215" s="281" t="str">
        <f t="shared" si="24"/>
        <v/>
      </c>
    </row>
    <row r="216" spans="27:32" hidden="1" x14ac:dyDescent="0.2">
      <c r="AA216" s="281" t="str">
        <f t="shared" si="25"/>
        <v/>
      </c>
      <c r="AB216" s="281" t="str">
        <f t="shared" si="20"/>
        <v/>
      </c>
      <c r="AC216" s="281" t="str">
        <f t="shared" si="21"/>
        <v/>
      </c>
      <c r="AD216" s="281" t="str">
        <f t="shared" si="22"/>
        <v/>
      </c>
      <c r="AE216" s="281" t="str">
        <f t="shared" si="23"/>
        <v/>
      </c>
      <c r="AF216" s="281" t="str">
        <f t="shared" si="24"/>
        <v/>
      </c>
    </row>
    <row r="217" spans="27:32" hidden="1" x14ac:dyDescent="0.2">
      <c r="AA217" s="281" t="str">
        <f t="shared" si="25"/>
        <v/>
      </c>
      <c r="AB217" s="281" t="str">
        <f t="shared" si="20"/>
        <v/>
      </c>
      <c r="AC217" s="281" t="str">
        <f t="shared" si="21"/>
        <v/>
      </c>
      <c r="AD217" s="281" t="str">
        <f t="shared" si="22"/>
        <v/>
      </c>
      <c r="AE217" s="281" t="str">
        <f t="shared" si="23"/>
        <v/>
      </c>
      <c r="AF217" s="281" t="str">
        <f t="shared" si="24"/>
        <v/>
      </c>
    </row>
    <row r="218" spans="27:32" hidden="1" x14ac:dyDescent="0.2">
      <c r="AA218" s="281" t="str">
        <f t="shared" si="25"/>
        <v/>
      </c>
      <c r="AB218" s="281" t="str">
        <f t="shared" si="20"/>
        <v/>
      </c>
      <c r="AC218" s="281" t="str">
        <f t="shared" si="21"/>
        <v/>
      </c>
      <c r="AD218" s="281" t="str">
        <f t="shared" si="22"/>
        <v/>
      </c>
      <c r="AE218" s="281" t="str">
        <f t="shared" si="23"/>
        <v/>
      </c>
      <c r="AF218" s="281" t="str">
        <f t="shared" si="24"/>
        <v/>
      </c>
    </row>
    <row r="219" spans="27:32" hidden="1" x14ac:dyDescent="0.2">
      <c r="AA219" s="281" t="str">
        <f t="shared" si="25"/>
        <v/>
      </c>
      <c r="AB219" s="281" t="str">
        <f t="shared" si="20"/>
        <v/>
      </c>
      <c r="AC219" s="281" t="str">
        <f t="shared" si="21"/>
        <v/>
      </c>
      <c r="AD219" s="281" t="str">
        <f t="shared" si="22"/>
        <v/>
      </c>
      <c r="AE219" s="281" t="str">
        <f t="shared" si="23"/>
        <v/>
      </c>
      <c r="AF219" s="281" t="str">
        <f t="shared" si="24"/>
        <v/>
      </c>
    </row>
    <row r="220" spans="27:32" hidden="1" x14ac:dyDescent="0.2">
      <c r="AA220" s="281" t="str">
        <f t="shared" si="25"/>
        <v/>
      </c>
      <c r="AB220" s="281" t="str">
        <f t="shared" si="20"/>
        <v/>
      </c>
      <c r="AC220" s="281" t="str">
        <f t="shared" si="21"/>
        <v/>
      </c>
      <c r="AD220" s="281" t="str">
        <f t="shared" si="22"/>
        <v/>
      </c>
      <c r="AE220" s="281" t="str">
        <f t="shared" si="23"/>
        <v/>
      </c>
      <c r="AF220" s="281" t="str">
        <f t="shared" si="24"/>
        <v/>
      </c>
    </row>
    <row r="221" spans="27:32" hidden="1" x14ac:dyDescent="0.2">
      <c r="AA221" s="281" t="str">
        <f t="shared" si="25"/>
        <v/>
      </c>
      <c r="AB221" s="281" t="str">
        <f t="shared" si="20"/>
        <v/>
      </c>
      <c r="AC221" s="281" t="str">
        <f t="shared" si="21"/>
        <v/>
      </c>
      <c r="AD221" s="281" t="str">
        <f t="shared" si="22"/>
        <v/>
      </c>
      <c r="AE221" s="281" t="str">
        <f t="shared" si="23"/>
        <v/>
      </c>
      <c r="AF221" s="281" t="str">
        <f t="shared" si="24"/>
        <v/>
      </c>
    </row>
    <row r="222" spans="27:32" hidden="1" x14ac:dyDescent="0.2">
      <c r="AA222" s="281" t="str">
        <f t="shared" si="25"/>
        <v/>
      </c>
      <c r="AB222" s="281" t="str">
        <f t="shared" si="20"/>
        <v/>
      </c>
      <c r="AC222" s="281" t="str">
        <f t="shared" si="21"/>
        <v/>
      </c>
      <c r="AD222" s="281" t="str">
        <f t="shared" si="22"/>
        <v/>
      </c>
      <c r="AE222" s="281" t="str">
        <f t="shared" si="23"/>
        <v/>
      </c>
      <c r="AF222" s="281" t="str">
        <f t="shared" si="24"/>
        <v/>
      </c>
    </row>
    <row r="223" spans="27:32" hidden="1" x14ac:dyDescent="0.2">
      <c r="AA223" s="281" t="str">
        <f t="shared" si="25"/>
        <v/>
      </c>
      <c r="AB223" s="281" t="str">
        <f t="shared" si="20"/>
        <v/>
      </c>
      <c r="AC223" s="281" t="str">
        <f t="shared" si="21"/>
        <v/>
      </c>
      <c r="AD223" s="281" t="str">
        <f t="shared" si="22"/>
        <v/>
      </c>
      <c r="AE223" s="281" t="str">
        <f t="shared" si="23"/>
        <v/>
      </c>
      <c r="AF223" s="281" t="str">
        <f t="shared" si="24"/>
        <v/>
      </c>
    </row>
    <row r="224" spans="27:32" hidden="1" x14ac:dyDescent="0.2">
      <c r="AA224" s="281" t="str">
        <f t="shared" si="25"/>
        <v/>
      </c>
      <c r="AB224" s="281" t="str">
        <f t="shared" si="20"/>
        <v/>
      </c>
      <c r="AC224" s="281" t="str">
        <f t="shared" si="21"/>
        <v/>
      </c>
      <c r="AD224" s="281" t="str">
        <f t="shared" si="22"/>
        <v/>
      </c>
      <c r="AE224" s="281" t="str">
        <f t="shared" si="23"/>
        <v/>
      </c>
      <c r="AF224" s="281" t="str">
        <f t="shared" si="24"/>
        <v/>
      </c>
    </row>
    <row r="225" spans="27:32" hidden="1" x14ac:dyDescent="0.2">
      <c r="AA225" s="281" t="str">
        <f t="shared" si="25"/>
        <v/>
      </c>
      <c r="AB225" s="281" t="str">
        <f t="shared" si="20"/>
        <v/>
      </c>
      <c r="AC225" s="281" t="str">
        <f t="shared" si="21"/>
        <v/>
      </c>
      <c r="AD225" s="281" t="str">
        <f t="shared" si="22"/>
        <v/>
      </c>
      <c r="AE225" s="281" t="str">
        <f t="shared" si="23"/>
        <v/>
      </c>
      <c r="AF225" s="281" t="str">
        <f t="shared" si="24"/>
        <v/>
      </c>
    </row>
    <row r="226" spans="27:32" hidden="1" x14ac:dyDescent="0.2">
      <c r="AA226" s="281" t="str">
        <f t="shared" si="25"/>
        <v/>
      </c>
      <c r="AB226" s="281" t="str">
        <f t="shared" si="20"/>
        <v/>
      </c>
      <c r="AC226" s="281" t="str">
        <f t="shared" si="21"/>
        <v/>
      </c>
      <c r="AD226" s="281" t="str">
        <f t="shared" si="22"/>
        <v/>
      </c>
      <c r="AE226" s="281" t="str">
        <f t="shared" si="23"/>
        <v/>
      </c>
      <c r="AF226" s="281" t="str">
        <f t="shared" si="24"/>
        <v/>
      </c>
    </row>
    <row r="227" spans="27:32" hidden="1" x14ac:dyDescent="0.2">
      <c r="AA227" s="281" t="str">
        <f t="shared" si="25"/>
        <v/>
      </c>
      <c r="AB227" s="281" t="str">
        <f t="shared" si="20"/>
        <v/>
      </c>
      <c r="AC227" s="281" t="str">
        <f t="shared" si="21"/>
        <v/>
      </c>
      <c r="AD227" s="281" t="str">
        <f t="shared" si="22"/>
        <v/>
      </c>
      <c r="AE227" s="281" t="str">
        <f t="shared" si="23"/>
        <v/>
      </c>
      <c r="AF227" s="281" t="str">
        <f t="shared" si="24"/>
        <v/>
      </c>
    </row>
    <row r="228" spans="27:32" hidden="1" x14ac:dyDescent="0.2">
      <c r="AA228" s="281" t="str">
        <f t="shared" si="25"/>
        <v/>
      </c>
      <c r="AB228" s="281" t="str">
        <f t="shared" si="20"/>
        <v/>
      </c>
      <c r="AC228" s="281" t="str">
        <f t="shared" si="21"/>
        <v/>
      </c>
      <c r="AD228" s="281" t="str">
        <f t="shared" si="22"/>
        <v/>
      </c>
      <c r="AE228" s="281" t="str">
        <f t="shared" si="23"/>
        <v/>
      </c>
      <c r="AF228" s="281" t="str">
        <f t="shared" si="24"/>
        <v/>
      </c>
    </row>
    <row r="229" spans="27:32" hidden="1" x14ac:dyDescent="0.2">
      <c r="AA229" s="281" t="str">
        <f t="shared" si="25"/>
        <v/>
      </c>
      <c r="AB229" s="281" t="str">
        <f t="shared" si="20"/>
        <v/>
      </c>
      <c r="AC229" s="281" t="str">
        <f t="shared" si="21"/>
        <v/>
      </c>
      <c r="AD229" s="281" t="str">
        <f t="shared" si="22"/>
        <v/>
      </c>
      <c r="AE229" s="281" t="str">
        <f t="shared" si="23"/>
        <v/>
      </c>
      <c r="AF229" s="281" t="str">
        <f t="shared" si="24"/>
        <v/>
      </c>
    </row>
    <row r="230" spans="27:32" hidden="1" x14ac:dyDescent="0.2">
      <c r="AA230" s="281" t="str">
        <f t="shared" si="25"/>
        <v/>
      </c>
      <c r="AB230" s="281" t="str">
        <f t="shared" si="20"/>
        <v/>
      </c>
      <c r="AC230" s="281" t="str">
        <f t="shared" si="21"/>
        <v/>
      </c>
      <c r="AD230" s="281" t="str">
        <f t="shared" si="22"/>
        <v/>
      </c>
      <c r="AE230" s="281" t="str">
        <f t="shared" si="23"/>
        <v/>
      </c>
      <c r="AF230" s="281" t="str">
        <f t="shared" si="24"/>
        <v/>
      </c>
    </row>
    <row r="231" spans="27:32" hidden="1" x14ac:dyDescent="0.2">
      <c r="AA231" s="281" t="str">
        <f t="shared" si="25"/>
        <v/>
      </c>
      <c r="AB231" s="281" t="str">
        <f t="shared" si="20"/>
        <v/>
      </c>
      <c r="AC231" s="281" t="str">
        <f t="shared" si="21"/>
        <v/>
      </c>
      <c r="AD231" s="281" t="str">
        <f t="shared" si="22"/>
        <v/>
      </c>
      <c r="AE231" s="281" t="str">
        <f t="shared" si="23"/>
        <v/>
      </c>
      <c r="AF231" s="281" t="str">
        <f t="shared" si="24"/>
        <v/>
      </c>
    </row>
    <row r="232" spans="27:32" hidden="1" x14ac:dyDescent="0.2">
      <c r="AA232" s="281" t="str">
        <f t="shared" si="25"/>
        <v/>
      </c>
      <c r="AB232" s="281" t="str">
        <f t="shared" si="20"/>
        <v/>
      </c>
      <c r="AC232" s="281" t="str">
        <f t="shared" si="21"/>
        <v/>
      </c>
      <c r="AD232" s="281" t="str">
        <f t="shared" si="22"/>
        <v/>
      </c>
      <c r="AE232" s="281" t="str">
        <f t="shared" si="23"/>
        <v/>
      </c>
      <c r="AF232" s="281" t="str">
        <f t="shared" si="24"/>
        <v/>
      </c>
    </row>
    <row r="233" spans="27:32" hidden="1" x14ac:dyDescent="0.2">
      <c r="AA233" s="281" t="str">
        <f t="shared" si="25"/>
        <v/>
      </c>
      <c r="AB233" s="281" t="str">
        <f t="shared" si="20"/>
        <v/>
      </c>
      <c r="AC233" s="281" t="str">
        <f t="shared" si="21"/>
        <v/>
      </c>
      <c r="AD233" s="281" t="str">
        <f t="shared" si="22"/>
        <v/>
      </c>
      <c r="AE233" s="281" t="str">
        <f t="shared" si="23"/>
        <v/>
      </c>
      <c r="AF233" s="281" t="str">
        <f t="shared" si="24"/>
        <v/>
      </c>
    </row>
    <row r="234" spans="27:32" hidden="1" x14ac:dyDescent="0.2">
      <c r="AA234" s="281" t="str">
        <f t="shared" si="25"/>
        <v/>
      </c>
      <c r="AB234" s="281" t="str">
        <f t="shared" si="20"/>
        <v/>
      </c>
      <c r="AC234" s="281" t="str">
        <f t="shared" si="21"/>
        <v/>
      </c>
      <c r="AD234" s="281" t="str">
        <f t="shared" si="22"/>
        <v/>
      </c>
      <c r="AE234" s="281" t="str">
        <f t="shared" si="23"/>
        <v/>
      </c>
      <c r="AF234" s="281" t="str">
        <f t="shared" si="24"/>
        <v/>
      </c>
    </row>
    <row r="235" spans="27:32" hidden="1" x14ac:dyDescent="0.2">
      <c r="AA235" s="281" t="str">
        <f t="shared" si="25"/>
        <v/>
      </c>
      <c r="AB235" s="281" t="str">
        <f t="shared" si="20"/>
        <v/>
      </c>
      <c r="AC235" s="281" t="str">
        <f t="shared" si="21"/>
        <v/>
      </c>
      <c r="AD235" s="281" t="str">
        <f t="shared" si="22"/>
        <v/>
      </c>
      <c r="AE235" s="281" t="str">
        <f t="shared" si="23"/>
        <v/>
      </c>
      <c r="AF235" s="281" t="str">
        <f t="shared" si="24"/>
        <v/>
      </c>
    </row>
    <row r="236" spans="27:32" hidden="1" x14ac:dyDescent="0.2">
      <c r="AA236" s="281" t="str">
        <f t="shared" si="25"/>
        <v/>
      </c>
      <c r="AB236" s="281" t="str">
        <f t="shared" si="20"/>
        <v/>
      </c>
      <c r="AC236" s="281" t="str">
        <f t="shared" si="21"/>
        <v/>
      </c>
      <c r="AD236" s="281" t="str">
        <f t="shared" si="22"/>
        <v/>
      </c>
      <c r="AE236" s="281" t="str">
        <f t="shared" si="23"/>
        <v/>
      </c>
      <c r="AF236" s="281" t="str">
        <f t="shared" si="24"/>
        <v/>
      </c>
    </row>
    <row r="237" spans="27:32" hidden="1" x14ac:dyDescent="0.2">
      <c r="AA237" s="281" t="str">
        <f t="shared" si="25"/>
        <v/>
      </c>
      <c r="AB237" s="281" t="str">
        <f t="shared" si="20"/>
        <v/>
      </c>
      <c r="AC237" s="281" t="str">
        <f t="shared" si="21"/>
        <v/>
      </c>
      <c r="AD237" s="281" t="str">
        <f t="shared" si="22"/>
        <v/>
      </c>
      <c r="AE237" s="281" t="str">
        <f t="shared" si="23"/>
        <v/>
      </c>
      <c r="AF237" s="281" t="str">
        <f t="shared" si="24"/>
        <v/>
      </c>
    </row>
    <row r="238" spans="27:32" hidden="1" x14ac:dyDescent="0.2">
      <c r="AA238" s="281" t="str">
        <f t="shared" si="25"/>
        <v/>
      </c>
      <c r="AB238" s="281" t="str">
        <f t="shared" si="20"/>
        <v/>
      </c>
      <c r="AC238" s="281" t="str">
        <f t="shared" si="21"/>
        <v/>
      </c>
      <c r="AD238" s="281" t="str">
        <f t="shared" si="22"/>
        <v/>
      </c>
      <c r="AE238" s="281" t="str">
        <f t="shared" si="23"/>
        <v/>
      </c>
      <c r="AF238" s="281" t="str">
        <f t="shared" si="24"/>
        <v/>
      </c>
    </row>
    <row r="239" spans="27:32" hidden="1" x14ac:dyDescent="0.2">
      <c r="AA239" s="281" t="str">
        <f t="shared" si="25"/>
        <v/>
      </c>
      <c r="AB239" s="281" t="str">
        <f t="shared" si="20"/>
        <v/>
      </c>
      <c r="AC239" s="281" t="str">
        <f t="shared" si="21"/>
        <v/>
      </c>
      <c r="AD239" s="281" t="str">
        <f t="shared" si="22"/>
        <v/>
      </c>
      <c r="AE239" s="281" t="str">
        <f t="shared" si="23"/>
        <v/>
      </c>
      <c r="AF239" s="281" t="str">
        <f t="shared" si="24"/>
        <v/>
      </c>
    </row>
    <row r="240" spans="27:32" hidden="1" x14ac:dyDescent="0.2">
      <c r="AA240" s="281" t="str">
        <f t="shared" si="25"/>
        <v/>
      </c>
      <c r="AB240" s="281" t="str">
        <f t="shared" si="20"/>
        <v/>
      </c>
      <c r="AC240" s="281" t="str">
        <f t="shared" si="21"/>
        <v/>
      </c>
      <c r="AD240" s="281" t="str">
        <f t="shared" si="22"/>
        <v/>
      </c>
      <c r="AE240" s="281" t="str">
        <f t="shared" si="23"/>
        <v/>
      </c>
      <c r="AF240" s="281" t="str">
        <f t="shared" si="24"/>
        <v/>
      </c>
    </row>
    <row r="241" spans="27:32" hidden="1" x14ac:dyDescent="0.2">
      <c r="AA241" s="281" t="str">
        <f t="shared" si="25"/>
        <v/>
      </c>
      <c r="AB241" s="281" t="str">
        <f t="shared" si="20"/>
        <v/>
      </c>
      <c r="AC241" s="281" t="str">
        <f t="shared" si="21"/>
        <v/>
      </c>
      <c r="AD241" s="281" t="str">
        <f t="shared" si="22"/>
        <v/>
      </c>
      <c r="AE241" s="281" t="str">
        <f t="shared" si="23"/>
        <v/>
      </c>
      <c r="AF241" s="281" t="str">
        <f t="shared" si="24"/>
        <v/>
      </c>
    </row>
    <row r="242" spans="27:32" hidden="1" x14ac:dyDescent="0.2">
      <c r="AA242" s="281" t="str">
        <f t="shared" si="25"/>
        <v/>
      </c>
      <c r="AB242" s="281" t="str">
        <f t="shared" si="20"/>
        <v/>
      </c>
      <c r="AC242" s="281" t="str">
        <f t="shared" si="21"/>
        <v/>
      </c>
      <c r="AD242" s="281" t="str">
        <f t="shared" si="22"/>
        <v/>
      </c>
      <c r="AE242" s="281" t="str">
        <f t="shared" si="23"/>
        <v/>
      </c>
      <c r="AF242" s="281" t="str">
        <f t="shared" si="24"/>
        <v/>
      </c>
    </row>
    <row r="243" spans="27:32" hidden="1" x14ac:dyDescent="0.2">
      <c r="AA243" s="281" t="str">
        <f t="shared" si="25"/>
        <v/>
      </c>
      <c r="AB243" s="281" t="str">
        <f t="shared" si="20"/>
        <v/>
      </c>
      <c r="AC243" s="281" t="str">
        <f t="shared" si="21"/>
        <v/>
      </c>
      <c r="AD243" s="281" t="str">
        <f t="shared" si="22"/>
        <v/>
      </c>
      <c r="AE243" s="281" t="str">
        <f t="shared" si="23"/>
        <v/>
      </c>
      <c r="AF243" s="281" t="str">
        <f t="shared" si="24"/>
        <v/>
      </c>
    </row>
    <row r="244" spans="27:32" hidden="1" x14ac:dyDescent="0.2">
      <c r="AA244" s="281" t="str">
        <f t="shared" si="25"/>
        <v/>
      </c>
      <c r="AB244" s="281" t="str">
        <f t="shared" si="20"/>
        <v/>
      </c>
      <c r="AC244" s="281" t="str">
        <f t="shared" si="21"/>
        <v/>
      </c>
      <c r="AD244" s="281" t="str">
        <f t="shared" si="22"/>
        <v/>
      </c>
      <c r="AE244" s="281" t="str">
        <f t="shared" si="23"/>
        <v/>
      </c>
      <c r="AF244" s="281" t="str">
        <f t="shared" si="24"/>
        <v/>
      </c>
    </row>
    <row r="245" spans="27:32" hidden="1" x14ac:dyDescent="0.2">
      <c r="AA245" s="281" t="str">
        <f t="shared" si="25"/>
        <v/>
      </c>
      <c r="AB245" s="281" t="str">
        <f t="shared" si="20"/>
        <v/>
      </c>
      <c r="AC245" s="281" t="str">
        <f t="shared" si="21"/>
        <v/>
      </c>
      <c r="AD245" s="281" t="str">
        <f t="shared" si="22"/>
        <v/>
      </c>
      <c r="AE245" s="281" t="str">
        <f t="shared" si="23"/>
        <v/>
      </c>
      <c r="AF245" s="281" t="str">
        <f t="shared" si="24"/>
        <v/>
      </c>
    </row>
    <row r="246" spans="27:32" hidden="1" x14ac:dyDescent="0.2">
      <c r="AA246" s="281" t="str">
        <f t="shared" si="25"/>
        <v/>
      </c>
      <c r="AB246" s="281" t="str">
        <f t="shared" si="20"/>
        <v/>
      </c>
      <c r="AC246" s="281" t="str">
        <f t="shared" si="21"/>
        <v/>
      </c>
      <c r="AD246" s="281" t="str">
        <f t="shared" si="22"/>
        <v/>
      </c>
      <c r="AE246" s="281" t="str">
        <f t="shared" si="23"/>
        <v/>
      </c>
      <c r="AF246" s="281" t="str">
        <f t="shared" si="24"/>
        <v/>
      </c>
    </row>
    <row r="247" spans="27:32" hidden="1" x14ac:dyDescent="0.2">
      <c r="AA247" s="281" t="str">
        <f t="shared" si="25"/>
        <v/>
      </c>
      <c r="AB247" s="281" t="str">
        <f t="shared" si="20"/>
        <v/>
      </c>
      <c r="AC247" s="281" t="str">
        <f t="shared" si="21"/>
        <v/>
      </c>
      <c r="AD247" s="281" t="str">
        <f t="shared" si="22"/>
        <v/>
      </c>
      <c r="AE247" s="281" t="str">
        <f t="shared" si="23"/>
        <v/>
      </c>
      <c r="AF247" s="281" t="str">
        <f t="shared" si="24"/>
        <v/>
      </c>
    </row>
    <row r="248" spans="27:32" hidden="1" x14ac:dyDescent="0.2">
      <c r="AA248" s="281" t="str">
        <f t="shared" si="25"/>
        <v/>
      </c>
      <c r="AB248" s="281" t="str">
        <f t="shared" si="20"/>
        <v/>
      </c>
      <c r="AC248" s="281" t="str">
        <f t="shared" si="21"/>
        <v/>
      </c>
      <c r="AD248" s="281" t="str">
        <f t="shared" si="22"/>
        <v/>
      </c>
      <c r="AE248" s="281" t="str">
        <f t="shared" si="23"/>
        <v/>
      </c>
      <c r="AF248" s="281" t="str">
        <f t="shared" si="24"/>
        <v/>
      </c>
    </row>
    <row r="249" spans="27:32" hidden="1" x14ac:dyDescent="0.2">
      <c r="AA249" s="281" t="str">
        <f t="shared" si="25"/>
        <v/>
      </c>
      <c r="AB249" s="281" t="str">
        <f t="shared" si="20"/>
        <v/>
      </c>
      <c r="AC249" s="281" t="str">
        <f t="shared" si="21"/>
        <v/>
      </c>
      <c r="AD249" s="281" t="str">
        <f t="shared" si="22"/>
        <v/>
      </c>
      <c r="AE249" s="281" t="str">
        <f t="shared" si="23"/>
        <v/>
      </c>
      <c r="AF249" s="281" t="str">
        <f t="shared" si="24"/>
        <v/>
      </c>
    </row>
    <row r="250" spans="27:32" hidden="1" x14ac:dyDescent="0.2">
      <c r="AA250" s="281" t="str">
        <f t="shared" si="25"/>
        <v/>
      </c>
      <c r="AB250" s="281" t="str">
        <f t="shared" si="20"/>
        <v/>
      </c>
      <c r="AC250" s="281" t="str">
        <f t="shared" si="21"/>
        <v/>
      </c>
      <c r="AD250" s="281" t="str">
        <f t="shared" si="22"/>
        <v/>
      </c>
      <c r="AE250" s="281" t="str">
        <f t="shared" si="23"/>
        <v/>
      </c>
      <c r="AF250" s="281" t="str">
        <f t="shared" si="24"/>
        <v/>
      </c>
    </row>
    <row r="251" spans="27:32" hidden="1" x14ac:dyDescent="0.2">
      <c r="AA251" s="281" t="str">
        <f t="shared" si="25"/>
        <v/>
      </c>
      <c r="AB251" s="281" t="str">
        <f t="shared" si="20"/>
        <v/>
      </c>
      <c r="AC251" s="281" t="str">
        <f t="shared" si="21"/>
        <v/>
      </c>
      <c r="AD251" s="281" t="str">
        <f t="shared" si="22"/>
        <v/>
      </c>
      <c r="AE251" s="281" t="str">
        <f t="shared" si="23"/>
        <v/>
      </c>
      <c r="AF251" s="281" t="str">
        <f t="shared" si="24"/>
        <v/>
      </c>
    </row>
    <row r="252" spans="27:32" hidden="1" x14ac:dyDescent="0.2">
      <c r="AA252" s="281" t="str">
        <f t="shared" si="25"/>
        <v/>
      </c>
      <c r="AB252" s="281" t="str">
        <f t="shared" si="20"/>
        <v/>
      </c>
      <c r="AC252" s="281" t="str">
        <f t="shared" si="21"/>
        <v/>
      </c>
      <c r="AD252" s="281" t="str">
        <f t="shared" si="22"/>
        <v/>
      </c>
      <c r="AE252" s="281" t="str">
        <f t="shared" si="23"/>
        <v/>
      </c>
      <c r="AF252" s="281" t="str">
        <f t="shared" si="24"/>
        <v/>
      </c>
    </row>
    <row r="253" spans="27:32" hidden="1" x14ac:dyDescent="0.2">
      <c r="AA253" s="281" t="str">
        <f t="shared" si="25"/>
        <v/>
      </c>
      <c r="AB253" s="281" t="str">
        <f t="shared" si="20"/>
        <v/>
      </c>
      <c r="AC253" s="281" t="str">
        <f t="shared" si="21"/>
        <v/>
      </c>
      <c r="AD253" s="281" t="str">
        <f t="shared" si="22"/>
        <v/>
      </c>
      <c r="AE253" s="281" t="str">
        <f t="shared" si="23"/>
        <v/>
      </c>
      <c r="AF253" s="281" t="str">
        <f t="shared" si="24"/>
        <v/>
      </c>
    </row>
    <row r="254" spans="27:32" hidden="1" x14ac:dyDescent="0.2">
      <c r="AA254" s="281" t="str">
        <f t="shared" si="25"/>
        <v/>
      </c>
      <c r="AB254" s="281" t="str">
        <f t="shared" si="20"/>
        <v/>
      </c>
      <c r="AC254" s="281" t="str">
        <f t="shared" si="21"/>
        <v/>
      </c>
      <c r="AD254" s="281" t="str">
        <f t="shared" si="22"/>
        <v/>
      </c>
      <c r="AE254" s="281" t="str">
        <f t="shared" si="23"/>
        <v/>
      </c>
      <c r="AF254" s="281" t="str">
        <f t="shared" si="24"/>
        <v/>
      </c>
    </row>
    <row r="255" spans="27:32" hidden="1" x14ac:dyDescent="0.2">
      <c r="AA255" s="281" t="str">
        <f t="shared" si="25"/>
        <v/>
      </c>
      <c r="AB255" s="281" t="str">
        <f t="shared" si="20"/>
        <v/>
      </c>
      <c r="AC255" s="281" t="str">
        <f t="shared" si="21"/>
        <v/>
      </c>
      <c r="AD255" s="281" t="str">
        <f t="shared" si="22"/>
        <v/>
      </c>
      <c r="AE255" s="281" t="str">
        <f t="shared" si="23"/>
        <v/>
      </c>
      <c r="AF255" s="281" t="str">
        <f t="shared" si="24"/>
        <v/>
      </c>
    </row>
    <row r="256" spans="27:32" hidden="1" x14ac:dyDescent="0.2">
      <c r="AA256" s="281" t="str">
        <f t="shared" si="25"/>
        <v/>
      </c>
      <c r="AB256" s="281" t="str">
        <f t="shared" si="20"/>
        <v/>
      </c>
      <c r="AC256" s="281" t="str">
        <f t="shared" si="21"/>
        <v/>
      </c>
      <c r="AD256" s="281" t="str">
        <f t="shared" si="22"/>
        <v/>
      </c>
      <c r="AE256" s="281" t="str">
        <f t="shared" si="23"/>
        <v/>
      </c>
      <c r="AF256" s="281" t="str">
        <f t="shared" si="24"/>
        <v/>
      </c>
    </row>
    <row r="257" spans="27:32" hidden="1" x14ac:dyDescent="0.2">
      <c r="AA257" s="281" t="str">
        <f t="shared" si="25"/>
        <v/>
      </c>
      <c r="AB257" s="281" t="str">
        <f t="shared" si="20"/>
        <v/>
      </c>
      <c r="AC257" s="281" t="str">
        <f t="shared" si="21"/>
        <v/>
      </c>
      <c r="AD257" s="281" t="str">
        <f t="shared" si="22"/>
        <v/>
      </c>
      <c r="AE257" s="281" t="str">
        <f t="shared" si="23"/>
        <v/>
      </c>
      <c r="AF257" s="281" t="str">
        <f t="shared" si="24"/>
        <v/>
      </c>
    </row>
    <row r="258" spans="27:32" hidden="1" x14ac:dyDescent="0.2">
      <c r="AA258" s="281" t="str">
        <f t="shared" si="25"/>
        <v/>
      </c>
      <c r="AB258" s="281" t="str">
        <f t="shared" si="20"/>
        <v/>
      </c>
      <c r="AC258" s="281" t="str">
        <f t="shared" si="21"/>
        <v/>
      </c>
      <c r="AD258" s="281" t="str">
        <f t="shared" si="22"/>
        <v/>
      </c>
      <c r="AE258" s="281" t="str">
        <f t="shared" si="23"/>
        <v/>
      </c>
      <c r="AF258" s="281" t="str">
        <f t="shared" si="24"/>
        <v/>
      </c>
    </row>
    <row r="259" spans="27:32" hidden="1" x14ac:dyDescent="0.2">
      <c r="AA259" s="281" t="str">
        <f t="shared" si="25"/>
        <v/>
      </c>
      <c r="AB259" s="281" t="str">
        <f t="shared" si="20"/>
        <v/>
      </c>
      <c r="AC259" s="281" t="str">
        <f t="shared" si="21"/>
        <v/>
      </c>
      <c r="AD259" s="281" t="str">
        <f t="shared" si="22"/>
        <v/>
      </c>
      <c r="AE259" s="281" t="str">
        <f t="shared" si="23"/>
        <v/>
      </c>
      <c r="AF259" s="281" t="str">
        <f t="shared" si="24"/>
        <v/>
      </c>
    </row>
    <row r="260" spans="27:32" hidden="1" x14ac:dyDescent="0.2">
      <c r="AA260" s="281" t="str">
        <f t="shared" si="25"/>
        <v/>
      </c>
      <c r="AB260" s="281" t="str">
        <f t="shared" si="20"/>
        <v/>
      </c>
      <c r="AC260" s="281" t="str">
        <f t="shared" si="21"/>
        <v/>
      </c>
      <c r="AD260" s="281" t="str">
        <f t="shared" si="22"/>
        <v/>
      </c>
      <c r="AE260" s="281" t="str">
        <f t="shared" si="23"/>
        <v/>
      </c>
      <c r="AF260" s="281" t="str">
        <f t="shared" si="24"/>
        <v/>
      </c>
    </row>
    <row r="261" spans="27:32" hidden="1" x14ac:dyDescent="0.2">
      <c r="AA261" s="281" t="str">
        <f t="shared" si="25"/>
        <v/>
      </c>
      <c r="AB261" s="281" t="str">
        <f t="shared" si="20"/>
        <v/>
      </c>
      <c r="AC261" s="281" t="str">
        <f t="shared" si="21"/>
        <v/>
      </c>
      <c r="AD261" s="281" t="str">
        <f t="shared" si="22"/>
        <v/>
      </c>
      <c r="AE261" s="281" t="str">
        <f t="shared" si="23"/>
        <v/>
      </c>
      <c r="AF261" s="281" t="str">
        <f t="shared" si="24"/>
        <v/>
      </c>
    </row>
    <row r="262" spans="27:32" hidden="1" x14ac:dyDescent="0.2">
      <c r="AA262" s="281" t="str">
        <f t="shared" si="25"/>
        <v/>
      </c>
      <c r="AB262" s="281" t="str">
        <f t="shared" si="20"/>
        <v/>
      </c>
      <c r="AC262" s="281" t="str">
        <f t="shared" si="21"/>
        <v/>
      </c>
      <c r="AD262" s="281" t="str">
        <f t="shared" si="22"/>
        <v/>
      </c>
      <c r="AE262" s="281" t="str">
        <f t="shared" si="23"/>
        <v/>
      </c>
      <c r="AF262" s="281" t="str">
        <f t="shared" si="24"/>
        <v/>
      </c>
    </row>
    <row r="263" spans="27:32" hidden="1" x14ac:dyDescent="0.2">
      <c r="AA263" s="281" t="str">
        <f t="shared" si="25"/>
        <v/>
      </c>
      <c r="AB263" s="281" t="str">
        <f t="shared" ref="AB263:AB299" si="26">IF(NOT(ISBLANK(F263)),L263,"")</f>
        <v/>
      </c>
      <c r="AC263" s="281" t="str">
        <f t="shared" ref="AC263:AC299" si="27">IF(NOT(ISBLANK(G263)),L263,"")</f>
        <v/>
      </c>
      <c r="AD263" s="281" t="str">
        <f t="shared" ref="AD263:AD299" si="28">IF(NOT(ISBLANK(H263)),L263,"")</f>
        <v/>
      </c>
      <c r="AE263" s="281" t="str">
        <f t="shared" ref="AE263:AE299" si="29">IF(NOT(ISBLANK(I263)),L263,"")</f>
        <v/>
      </c>
      <c r="AF263" s="281" t="str">
        <f t="shared" ref="AF263:AF299" si="30">IF(NOT(ISBLANK(J263)),L263,"")</f>
        <v/>
      </c>
    </row>
    <row r="264" spans="27:32" hidden="1" x14ac:dyDescent="0.2">
      <c r="AA264" s="281" t="str">
        <f t="shared" ref="AA264:AA299" si="31">IF(NOT(ISBLANK(E264)),L264,"")</f>
        <v/>
      </c>
      <c r="AB264" s="281" t="str">
        <f t="shared" si="26"/>
        <v/>
      </c>
      <c r="AC264" s="281" t="str">
        <f t="shared" si="27"/>
        <v/>
      </c>
      <c r="AD264" s="281" t="str">
        <f t="shared" si="28"/>
        <v/>
      </c>
      <c r="AE264" s="281" t="str">
        <f t="shared" si="29"/>
        <v/>
      </c>
      <c r="AF264" s="281" t="str">
        <f t="shared" si="30"/>
        <v/>
      </c>
    </row>
    <row r="265" spans="27:32" hidden="1" x14ac:dyDescent="0.2">
      <c r="AA265" s="281" t="str">
        <f t="shared" si="31"/>
        <v/>
      </c>
      <c r="AB265" s="281" t="str">
        <f t="shared" si="26"/>
        <v/>
      </c>
      <c r="AC265" s="281" t="str">
        <f t="shared" si="27"/>
        <v/>
      </c>
      <c r="AD265" s="281" t="str">
        <f t="shared" si="28"/>
        <v/>
      </c>
      <c r="AE265" s="281" t="str">
        <f t="shared" si="29"/>
        <v/>
      </c>
      <c r="AF265" s="281" t="str">
        <f t="shared" si="30"/>
        <v/>
      </c>
    </row>
    <row r="266" spans="27:32" hidden="1" x14ac:dyDescent="0.2">
      <c r="AA266" s="281" t="str">
        <f t="shared" si="31"/>
        <v/>
      </c>
      <c r="AB266" s="281" t="str">
        <f t="shared" si="26"/>
        <v/>
      </c>
      <c r="AC266" s="281" t="str">
        <f t="shared" si="27"/>
        <v/>
      </c>
      <c r="AD266" s="281" t="str">
        <f t="shared" si="28"/>
        <v/>
      </c>
      <c r="AE266" s="281" t="str">
        <f t="shared" si="29"/>
        <v/>
      </c>
      <c r="AF266" s="281" t="str">
        <f t="shared" si="30"/>
        <v/>
      </c>
    </row>
    <row r="267" spans="27:32" hidden="1" x14ac:dyDescent="0.2">
      <c r="AA267" s="281" t="str">
        <f t="shared" si="31"/>
        <v/>
      </c>
      <c r="AB267" s="281" t="str">
        <f t="shared" si="26"/>
        <v/>
      </c>
      <c r="AC267" s="281" t="str">
        <f t="shared" si="27"/>
        <v/>
      </c>
      <c r="AD267" s="281" t="str">
        <f t="shared" si="28"/>
        <v/>
      </c>
      <c r="AE267" s="281" t="str">
        <f t="shared" si="29"/>
        <v/>
      </c>
      <c r="AF267" s="281" t="str">
        <f t="shared" si="30"/>
        <v/>
      </c>
    </row>
    <row r="268" spans="27:32" hidden="1" x14ac:dyDescent="0.2">
      <c r="AA268" s="281" t="str">
        <f t="shared" si="31"/>
        <v/>
      </c>
      <c r="AB268" s="281" t="str">
        <f t="shared" si="26"/>
        <v/>
      </c>
      <c r="AC268" s="281" t="str">
        <f t="shared" si="27"/>
        <v/>
      </c>
      <c r="AD268" s="281" t="str">
        <f t="shared" si="28"/>
        <v/>
      </c>
      <c r="AE268" s="281" t="str">
        <f t="shared" si="29"/>
        <v/>
      </c>
      <c r="AF268" s="281" t="str">
        <f t="shared" si="30"/>
        <v/>
      </c>
    </row>
    <row r="269" spans="27:32" hidden="1" x14ac:dyDescent="0.2">
      <c r="AA269" s="281" t="str">
        <f t="shared" si="31"/>
        <v/>
      </c>
      <c r="AB269" s="281" t="str">
        <f t="shared" si="26"/>
        <v/>
      </c>
      <c r="AC269" s="281" t="str">
        <f t="shared" si="27"/>
        <v/>
      </c>
      <c r="AD269" s="281" t="str">
        <f t="shared" si="28"/>
        <v/>
      </c>
      <c r="AE269" s="281" t="str">
        <f t="shared" si="29"/>
        <v/>
      </c>
      <c r="AF269" s="281" t="str">
        <f t="shared" si="30"/>
        <v/>
      </c>
    </row>
    <row r="270" spans="27:32" hidden="1" x14ac:dyDescent="0.2">
      <c r="AA270" s="281" t="str">
        <f t="shared" si="31"/>
        <v/>
      </c>
      <c r="AB270" s="281" t="str">
        <f t="shared" si="26"/>
        <v/>
      </c>
      <c r="AC270" s="281" t="str">
        <f t="shared" si="27"/>
        <v/>
      </c>
      <c r="AD270" s="281" t="str">
        <f t="shared" si="28"/>
        <v/>
      </c>
      <c r="AE270" s="281" t="str">
        <f t="shared" si="29"/>
        <v/>
      </c>
      <c r="AF270" s="281" t="str">
        <f t="shared" si="30"/>
        <v/>
      </c>
    </row>
    <row r="271" spans="27:32" hidden="1" x14ac:dyDescent="0.2">
      <c r="AA271" s="281" t="str">
        <f t="shared" si="31"/>
        <v/>
      </c>
      <c r="AB271" s="281" t="str">
        <f t="shared" si="26"/>
        <v/>
      </c>
      <c r="AC271" s="281" t="str">
        <f t="shared" si="27"/>
        <v/>
      </c>
      <c r="AD271" s="281" t="str">
        <f t="shared" si="28"/>
        <v/>
      </c>
      <c r="AE271" s="281" t="str">
        <f t="shared" si="29"/>
        <v/>
      </c>
      <c r="AF271" s="281" t="str">
        <f t="shared" si="30"/>
        <v/>
      </c>
    </row>
    <row r="272" spans="27:32" hidden="1" x14ac:dyDescent="0.2">
      <c r="AA272" s="281" t="str">
        <f t="shared" si="31"/>
        <v/>
      </c>
      <c r="AB272" s="281" t="str">
        <f t="shared" si="26"/>
        <v/>
      </c>
      <c r="AC272" s="281" t="str">
        <f t="shared" si="27"/>
        <v/>
      </c>
      <c r="AD272" s="281" t="str">
        <f t="shared" si="28"/>
        <v/>
      </c>
      <c r="AE272" s="281" t="str">
        <f t="shared" si="29"/>
        <v/>
      </c>
      <c r="AF272" s="281" t="str">
        <f t="shared" si="30"/>
        <v/>
      </c>
    </row>
    <row r="273" spans="27:32" hidden="1" x14ac:dyDescent="0.2">
      <c r="AA273" s="281" t="str">
        <f t="shared" si="31"/>
        <v/>
      </c>
      <c r="AB273" s="281" t="str">
        <f t="shared" si="26"/>
        <v/>
      </c>
      <c r="AC273" s="281" t="str">
        <f t="shared" si="27"/>
        <v/>
      </c>
      <c r="AD273" s="281" t="str">
        <f t="shared" si="28"/>
        <v/>
      </c>
      <c r="AE273" s="281" t="str">
        <f t="shared" si="29"/>
        <v/>
      </c>
      <c r="AF273" s="281" t="str">
        <f t="shared" si="30"/>
        <v/>
      </c>
    </row>
    <row r="274" spans="27:32" hidden="1" x14ac:dyDescent="0.2">
      <c r="AA274" s="281" t="str">
        <f t="shared" si="31"/>
        <v/>
      </c>
      <c r="AB274" s="281" t="str">
        <f t="shared" si="26"/>
        <v/>
      </c>
      <c r="AC274" s="281" t="str">
        <f t="shared" si="27"/>
        <v/>
      </c>
      <c r="AD274" s="281" t="str">
        <f t="shared" si="28"/>
        <v/>
      </c>
      <c r="AE274" s="281" t="str">
        <f t="shared" si="29"/>
        <v/>
      </c>
      <c r="AF274" s="281" t="str">
        <f t="shared" si="30"/>
        <v/>
      </c>
    </row>
    <row r="275" spans="27:32" hidden="1" x14ac:dyDescent="0.2">
      <c r="AA275" s="281" t="str">
        <f t="shared" si="31"/>
        <v/>
      </c>
      <c r="AB275" s="281" t="str">
        <f t="shared" si="26"/>
        <v/>
      </c>
      <c r="AC275" s="281" t="str">
        <f t="shared" si="27"/>
        <v/>
      </c>
      <c r="AD275" s="281" t="str">
        <f t="shared" si="28"/>
        <v/>
      </c>
      <c r="AE275" s="281" t="str">
        <f t="shared" si="29"/>
        <v/>
      </c>
      <c r="AF275" s="281" t="str">
        <f t="shared" si="30"/>
        <v/>
      </c>
    </row>
    <row r="276" spans="27:32" hidden="1" x14ac:dyDescent="0.2">
      <c r="AA276" s="281" t="str">
        <f t="shared" si="31"/>
        <v/>
      </c>
      <c r="AB276" s="281" t="str">
        <f t="shared" si="26"/>
        <v/>
      </c>
      <c r="AC276" s="281" t="str">
        <f t="shared" si="27"/>
        <v/>
      </c>
      <c r="AD276" s="281" t="str">
        <f t="shared" si="28"/>
        <v/>
      </c>
      <c r="AE276" s="281" t="str">
        <f t="shared" si="29"/>
        <v/>
      </c>
      <c r="AF276" s="281" t="str">
        <f t="shared" si="30"/>
        <v/>
      </c>
    </row>
    <row r="277" spans="27:32" hidden="1" x14ac:dyDescent="0.2">
      <c r="AA277" s="281" t="str">
        <f t="shared" si="31"/>
        <v/>
      </c>
      <c r="AB277" s="281" t="str">
        <f t="shared" si="26"/>
        <v/>
      </c>
      <c r="AC277" s="281" t="str">
        <f t="shared" si="27"/>
        <v/>
      </c>
      <c r="AD277" s="281" t="str">
        <f t="shared" si="28"/>
        <v/>
      </c>
      <c r="AE277" s="281" t="str">
        <f t="shared" si="29"/>
        <v/>
      </c>
      <c r="AF277" s="281" t="str">
        <f t="shared" si="30"/>
        <v/>
      </c>
    </row>
    <row r="278" spans="27:32" hidden="1" x14ac:dyDescent="0.2">
      <c r="AA278" s="281" t="str">
        <f t="shared" si="31"/>
        <v/>
      </c>
      <c r="AB278" s="281" t="str">
        <f t="shared" si="26"/>
        <v/>
      </c>
      <c r="AC278" s="281" t="str">
        <f t="shared" si="27"/>
        <v/>
      </c>
      <c r="AD278" s="281" t="str">
        <f t="shared" si="28"/>
        <v/>
      </c>
      <c r="AE278" s="281" t="str">
        <f t="shared" si="29"/>
        <v/>
      </c>
      <c r="AF278" s="281" t="str">
        <f t="shared" si="30"/>
        <v/>
      </c>
    </row>
    <row r="279" spans="27:32" hidden="1" x14ac:dyDescent="0.2">
      <c r="AA279" s="281" t="str">
        <f t="shared" si="31"/>
        <v/>
      </c>
      <c r="AB279" s="281" t="str">
        <f t="shared" si="26"/>
        <v/>
      </c>
      <c r="AC279" s="281" t="str">
        <f t="shared" si="27"/>
        <v/>
      </c>
      <c r="AD279" s="281" t="str">
        <f t="shared" si="28"/>
        <v/>
      </c>
      <c r="AE279" s="281" t="str">
        <f t="shared" si="29"/>
        <v/>
      </c>
      <c r="AF279" s="281" t="str">
        <f t="shared" si="30"/>
        <v/>
      </c>
    </row>
    <row r="280" spans="27:32" hidden="1" x14ac:dyDescent="0.2">
      <c r="AA280" s="281" t="str">
        <f t="shared" si="31"/>
        <v/>
      </c>
      <c r="AB280" s="281" t="str">
        <f t="shared" si="26"/>
        <v/>
      </c>
      <c r="AC280" s="281" t="str">
        <f t="shared" si="27"/>
        <v/>
      </c>
      <c r="AD280" s="281" t="str">
        <f t="shared" si="28"/>
        <v/>
      </c>
      <c r="AE280" s="281" t="str">
        <f t="shared" si="29"/>
        <v/>
      </c>
      <c r="AF280" s="281" t="str">
        <f t="shared" si="30"/>
        <v/>
      </c>
    </row>
    <row r="281" spans="27:32" hidden="1" x14ac:dyDescent="0.2">
      <c r="AA281" s="281" t="str">
        <f t="shared" si="31"/>
        <v/>
      </c>
      <c r="AB281" s="281" t="str">
        <f t="shared" si="26"/>
        <v/>
      </c>
      <c r="AC281" s="281" t="str">
        <f t="shared" si="27"/>
        <v/>
      </c>
      <c r="AD281" s="281" t="str">
        <f t="shared" si="28"/>
        <v/>
      </c>
      <c r="AE281" s="281" t="str">
        <f t="shared" si="29"/>
        <v/>
      </c>
      <c r="AF281" s="281" t="str">
        <f t="shared" si="30"/>
        <v/>
      </c>
    </row>
    <row r="282" spans="27:32" hidden="1" x14ac:dyDescent="0.2">
      <c r="AA282" s="281" t="str">
        <f t="shared" si="31"/>
        <v/>
      </c>
      <c r="AB282" s="281" t="str">
        <f t="shared" si="26"/>
        <v/>
      </c>
      <c r="AC282" s="281" t="str">
        <f t="shared" si="27"/>
        <v/>
      </c>
      <c r="AD282" s="281" t="str">
        <f t="shared" si="28"/>
        <v/>
      </c>
      <c r="AE282" s="281" t="str">
        <f t="shared" si="29"/>
        <v/>
      </c>
      <c r="AF282" s="281" t="str">
        <f t="shared" si="30"/>
        <v/>
      </c>
    </row>
    <row r="283" spans="27:32" hidden="1" x14ac:dyDescent="0.2">
      <c r="AA283" s="281" t="str">
        <f t="shared" si="31"/>
        <v/>
      </c>
      <c r="AB283" s="281" t="str">
        <f t="shared" si="26"/>
        <v/>
      </c>
      <c r="AC283" s="281" t="str">
        <f t="shared" si="27"/>
        <v/>
      </c>
      <c r="AD283" s="281" t="str">
        <f t="shared" si="28"/>
        <v/>
      </c>
      <c r="AE283" s="281" t="str">
        <f t="shared" si="29"/>
        <v/>
      </c>
      <c r="AF283" s="281" t="str">
        <f t="shared" si="30"/>
        <v/>
      </c>
    </row>
    <row r="284" spans="27:32" hidden="1" x14ac:dyDescent="0.2">
      <c r="AA284" s="281" t="str">
        <f t="shared" si="31"/>
        <v/>
      </c>
      <c r="AB284" s="281" t="str">
        <f t="shared" si="26"/>
        <v/>
      </c>
      <c r="AC284" s="281" t="str">
        <f t="shared" si="27"/>
        <v/>
      </c>
      <c r="AD284" s="281" t="str">
        <f t="shared" si="28"/>
        <v/>
      </c>
      <c r="AE284" s="281" t="str">
        <f t="shared" si="29"/>
        <v/>
      </c>
      <c r="AF284" s="281" t="str">
        <f t="shared" si="30"/>
        <v/>
      </c>
    </row>
    <row r="285" spans="27:32" hidden="1" x14ac:dyDescent="0.2">
      <c r="AA285" s="281" t="str">
        <f t="shared" si="31"/>
        <v/>
      </c>
      <c r="AB285" s="281" t="str">
        <f t="shared" si="26"/>
        <v/>
      </c>
      <c r="AC285" s="281" t="str">
        <f t="shared" si="27"/>
        <v/>
      </c>
      <c r="AD285" s="281" t="str">
        <f t="shared" si="28"/>
        <v/>
      </c>
      <c r="AE285" s="281" t="str">
        <f t="shared" si="29"/>
        <v/>
      </c>
      <c r="AF285" s="281" t="str">
        <f t="shared" si="30"/>
        <v/>
      </c>
    </row>
    <row r="286" spans="27:32" hidden="1" x14ac:dyDescent="0.2">
      <c r="AA286" s="281" t="str">
        <f t="shared" si="31"/>
        <v/>
      </c>
      <c r="AB286" s="281" t="str">
        <f t="shared" si="26"/>
        <v/>
      </c>
      <c r="AC286" s="281" t="str">
        <f t="shared" si="27"/>
        <v/>
      </c>
      <c r="AD286" s="281" t="str">
        <f t="shared" si="28"/>
        <v/>
      </c>
      <c r="AE286" s="281" t="str">
        <f t="shared" si="29"/>
        <v/>
      </c>
      <c r="AF286" s="281" t="str">
        <f t="shared" si="30"/>
        <v/>
      </c>
    </row>
    <row r="287" spans="27:32" hidden="1" x14ac:dyDescent="0.2">
      <c r="AA287" s="281" t="str">
        <f t="shared" si="31"/>
        <v/>
      </c>
      <c r="AB287" s="281" t="str">
        <f t="shared" si="26"/>
        <v/>
      </c>
      <c r="AC287" s="281" t="str">
        <f t="shared" si="27"/>
        <v/>
      </c>
      <c r="AD287" s="281" t="str">
        <f t="shared" si="28"/>
        <v/>
      </c>
      <c r="AE287" s="281" t="str">
        <f t="shared" si="29"/>
        <v/>
      </c>
      <c r="AF287" s="281" t="str">
        <f t="shared" si="30"/>
        <v/>
      </c>
    </row>
    <row r="288" spans="27:32" hidden="1" x14ac:dyDescent="0.2">
      <c r="AA288" s="281" t="str">
        <f t="shared" si="31"/>
        <v/>
      </c>
      <c r="AB288" s="281" t="str">
        <f t="shared" si="26"/>
        <v/>
      </c>
      <c r="AC288" s="281" t="str">
        <f t="shared" si="27"/>
        <v/>
      </c>
      <c r="AD288" s="281" t="str">
        <f t="shared" si="28"/>
        <v/>
      </c>
      <c r="AE288" s="281" t="str">
        <f t="shared" si="29"/>
        <v/>
      </c>
      <c r="AF288" s="281" t="str">
        <f t="shared" si="30"/>
        <v/>
      </c>
    </row>
    <row r="289" spans="5:32" hidden="1" x14ac:dyDescent="0.2">
      <c r="AA289" s="281" t="str">
        <f t="shared" si="31"/>
        <v/>
      </c>
      <c r="AB289" s="281" t="str">
        <f t="shared" si="26"/>
        <v/>
      </c>
      <c r="AC289" s="281" t="str">
        <f t="shared" si="27"/>
        <v/>
      </c>
      <c r="AD289" s="281" t="str">
        <f t="shared" si="28"/>
        <v/>
      </c>
      <c r="AE289" s="281" t="str">
        <f t="shared" si="29"/>
        <v/>
      </c>
      <c r="AF289" s="281" t="str">
        <f t="shared" si="30"/>
        <v/>
      </c>
    </row>
    <row r="290" spans="5:32" hidden="1" x14ac:dyDescent="0.2">
      <c r="AA290" s="281" t="str">
        <f t="shared" si="31"/>
        <v/>
      </c>
      <c r="AB290" s="281" t="str">
        <f t="shared" si="26"/>
        <v/>
      </c>
      <c r="AC290" s="281" t="str">
        <f t="shared" si="27"/>
        <v/>
      </c>
      <c r="AD290" s="281" t="str">
        <f t="shared" si="28"/>
        <v/>
      </c>
      <c r="AE290" s="281" t="str">
        <f t="shared" si="29"/>
        <v/>
      </c>
      <c r="AF290" s="281" t="str">
        <f t="shared" si="30"/>
        <v/>
      </c>
    </row>
    <row r="291" spans="5:32" hidden="1" x14ac:dyDescent="0.2">
      <c r="AA291" s="281" t="str">
        <f t="shared" si="31"/>
        <v/>
      </c>
      <c r="AB291" s="281" t="str">
        <f t="shared" si="26"/>
        <v/>
      </c>
      <c r="AC291" s="281" t="str">
        <f t="shared" si="27"/>
        <v/>
      </c>
      <c r="AD291" s="281" t="str">
        <f t="shared" si="28"/>
        <v/>
      </c>
      <c r="AE291" s="281" t="str">
        <f t="shared" si="29"/>
        <v/>
      </c>
      <c r="AF291" s="281" t="str">
        <f t="shared" si="30"/>
        <v/>
      </c>
    </row>
    <row r="292" spans="5:32" hidden="1" x14ac:dyDescent="0.2">
      <c r="AA292" s="281" t="str">
        <f t="shared" si="31"/>
        <v/>
      </c>
      <c r="AB292" s="281" t="str">
        <f t="shared" si="26"/>
        <v/>
      </c>
      <c r="AC292" s="281" t="str">
        <f t="shared" si="27"/>
        <v/>
      </c>
      <c r="AD292" s="281" t="str">
        <f t="shared" si="28"/>
        <v/>
      </c>
      <c r="AE292" s="281" t="str">
        <f t="shared" si="29"/>
        <v/>
      </c>
      <c r="AF292" s="281" t="str">
        <f t="shared" si="30"/>
        <v/>
      </c>
    </row>
    <row r="293" spans="5:32" hidden="1" x14ac:dyDescent="0.2">
      <c r="AA293" s="281" t="str">
        <f t="shared" si="31"/>
        <v/>
      </c>
      <c r="AB293" s="281" t="str">
        <f t="shared" si="26"/>
        <v/>
      </c>
      <c r="AC293" s="281" t="str">
        <f t="shared" si="27"/>
        <v/>
      </c>
      <c r="AD293" s="281" t="str">
        <f t="shared" si="28"/>
        <v/>
      </c>
      <c r="AE293" s="281" t="str">
        <f t="shared" si="29"/>
        <v/>
      </c>
      <c r="AF293" s="281" t="str">
        <f t="shared" si="30"/>
        <v/>
      </c>
    </row>
    <row r="294" spans="5:32" hidden="1" x14ac:dyDescent="0.2">
      <c r="AA294" s="281" t="str">
        <f t="shared" si="31"/>
        <v/>
      </c>
      <c r="AB294" s="281" t="str">
        <f t="shared" si="26"/>
        <v/>
      </c>
      <c r="AC294" s="281" t="str">
        <f t="shared" si="27"/>
        <v/>
      </c>
      <c r="AD294" s="281" t="str">
        <f t="shared" si="28"/>
        <v/>
      </c>
      <c r="AE294" s="281" t="str">
        <f t="shared" si="29"/>
        <v/>
      </c>
      <c r="AF294" s="281" t="str">
        <f t="shared" si="30"/>
        <v/>
      </c>
    </row>
    <row r="295" spans="5:32" hidden="1" x14ac:dyDescent="0.2">
      <c r="AA295" s="281" t="str">
        <f t="shared" si="31"/>
        <v/>
      </c>
      <c r="AB295" s="281" t="str">
        <f t="shared" si="26"/>
        <v/>
      </c>
      <c r="AC295" s="281" t="str">
        <f t="shared" si="27"/>
        <v/>
      </c>
      <c r="AD295" s="281" t="str">
        <f t="shared" si="28"/>
        <v/>
      </c>
      <c r="AE295" s="281" t="str">
        <f t="shared" si="29"/>
        <v/>
      </c>
      <c r="AF295" s="281" t="str">
        <f t="shared" si="30"/>
        <v/>
      </c>
    </row>
    <row r="296" spans="5:32" hidden="1" x14ac:dyDescent="0.2">
      <c r="AA296" s="281" t="str">
        <f t="shared" si="31"/>
        <v/>
      </c>
      <c r="AB296" s="281" t="str">
        <f t="shared" si="26"/>
        <v/>
      </c>
      <c r="AC296" s="281" t="str">
        <f t="shared" si="27"/>
        <v/>
      </c>
      <c r="AD296" s="281" t="str">
        <f t="shared" si="28"/>
        <v/>
      </c>
      <c r="AE296" s="281" t="str">
        <f t="shared" si="29"/>
        <v/>
      </c>
      <c r="AF296" s="281" t="str">
        <f t="shared" si="30"/>
        <v/>
      </c>
    </row>
    <row r="297" spans="5:32" hidden="1" x14ac:dyDescent="0.2">
      <c r="AA297" s="281" t="str">
        <f t="shared" si="31"/>
        <v/>
      </c>
      <c r="AB297" s="281" t="str">
        <f t="shared" si="26"/>
        <v/>
      </c>
      <c r="AC297" s="281" t="str">
        <f t="shared" si="27"/>
        <v/>
      </c>
      <c r="AD297" s="281" t="str">
        <f t="shared" si="28"/>
        <v/>
      </c>
      <c r="AE297" s="281" t="str">
        <f t="shared" si="29"/>
        <v/>
      </c>
      <c r="AF297" s="281" t="str">
        <f t="shared" si="30"/>
        <v/>
      </c>
    </row>
    <row r="298" spans="5:32" hidden="1" x14ac:dyDescent="0.2">
      <c r="AA298" s="281" t="str">
        <f t="shared" si="31"/>
        <v/>
      </c>
      <c r="AB298" s="281" t="str">
        <f t="shared" si="26"/>
        <v/>
      </c>
      <c r="AC298" s="281" t="str">
        <f t="shared" si="27"/>
        <v/>
      </c>
      <c r="AD298" s="281" t="str">
        <f t="shared" si="28"/>
        <v/>
      </c>
      <c r="AE298" s="281" t="str">
        <f t="shared" si="29"/>
        <v/>
      </c>
      <c r="AF298" s="281" t="str">
        <f t="shared" si="30"/>
        <v/>
      </c>
    </row>
    <row r="299" spans="5:32" hidden="1" x14ac:dyDescent="0.2">
      <c r="AA299" s="281" t="str">
        <f t="shared" si="31"/>
        <v/>
      </c>
      <c r="AB299" s="281" t="str">
        <f t="shared" si="26"/>
        <v/>
      </c>
      <c r="AC299" s="281" t="str">
        <f t="shared" si="27"/>
        <v/>
      </c>
      <c r="AD299" s="281" t="str">
        <f t="shared" si="28"/>
        <v/>
      </c>
      <c r="AE299" s="281" t="str">
        <f t="shared" si="29"/>
        <v/>
      </c>
      <c r="AF299" s="281" t="str">
        <f t="shared" si="30"/>
        <v/>
      </c>
    </row>
    <row r="300" spans="5:32" hidden="1" x14ac:dyDescent="0.2">
      <c r="E300" s="288">
        <f t="shared" ref="E300:J300" si="32">COUNTA(E6:E299)</f>
        <v>0</v>
      </c>
      <c r="F300" s="288">
        <f t="shared" si="32"/>
        <v>0</v>
      </c>
      <c r="G300" s="288">
        <f t="shared" si="32"/>
        <v>0</v>
      </c>
      <c r="H300" s="288">
        <f t="shared" si="32"/>
        <v>0</v>
      </c>
      <c r="I300" s="288">
        <f t="shared" si="32"/>
        <v>0</v>
      </c>
      <c r="J300" s="288">
        <f t="shared" si="32"/>
        <v>0</v>
      </c>
      <c r="L300" s="288">
        <f>SUM(L6:L299)</f>
        <v>0</v>
      </c>
      <c r="AA300" s="281">
        <f t="shared" ref="AA300:AF300" si="33">SUM(AA6:AA299)</f>
        <v>0</v>
      </c>
      <c r="AB300" s="281">
        <f t="shared" si="33"/>
        <v>0</v>
      </c>
      <c r="AC300" s="281">
        <f t="shared" si="33"/>
        <v>0</v>
      </c>
      <c r="AD300" s="281">
        <f t="shared" si="33"/>
        <v>0</v>
      </c>
      <c r="AE300" s="281">
        <f t="shared" si="33"/>
        <v>0</v>
      </c>
      <c r="AF300" s="281">
        <f t="shared" si="33"/>
        <v>0</v>
      </c>
    </row>
  </sheetData>
  <sheetProtection sheet="1" objects="1" scenarios="1"/>
  <mergeCells count="8">
    <mergeCell ref="A49:V49"/>
    <mergeCell ref="E3:V3"/>
    <mergeCell ref="K4:V4"/>
    <mergeCell ref="E1:V1"/>
    <mergeCell ref="E4:J4"/>
    <mergeCell ref="E2:M2"/>
    <mergeCell ref="N2:P2"/>
    <mergeCell ref="Q2:V2"/>
  </mergeCells>
  <phoneticPr fontId="6" type="noConversion"/>
  <hyperlinks>
    <hyperlink ref="N5" location="defs_NPI" display="NPI" xr:uid="{00000000-0004-0000-0C00-000000000000}"/>
    <hyperlink ref="Q2:V2" location="text_11" display="Document Explanations if needed" xr:uid="{00000000-0004-0000-0C00-000001000000}"/>
  </hyperlinks>
  <printOptions horizontalCentered="1"/>
  <pageMargins left="0.75" right="0.75" top="1" bottom="1" header="0.5" footer="0.5"/>
  <pageSetup scale="51" fitToHeight="2" orientation="portrait" r:id="rId1"/>
  <headerFooter alignWithMargins="0">
    <oddFooter>&amp;L&amp;"Calibri,Regular"Diagnostic Imaging Facility Utilization Report
Fiscal Year 2024
&amp;C&amp;"Calibri,Regular"&amp;P of &amp;N&amp;R&amp;"Calibri,Regular"Minnesota Department of Health
Phone 651-201-3572
health.hccis@state.mn.us</oddFooter>
  </headerFooter>
  <colBreaks count="1" manualBreakCount="1">
    <brk id="22"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O39"/>
  <sheetViews>
    <sheetView topLeftCell="C1" zoomScaleNormal="100" workbookViewId="0">
      <selection activeCell="C1" sqref="C1:H1"/>
    </sheetView>
  </sheetViews>
  <sheetFormatPr defaultColWidth="0" defaultRowHeight="12.75" zeroHeight="1" x14ac:dyDescent="0.2"/>
  <cols>
    <col min="1" max="2" width="9.140625" style="122" hidden="1" customWidth="1"/>
    <col min="3" max="3" width="20.28515625" style="297" customWidth="1"/>
    <col min="4" max="4" width="3.7109375" style="298" customWidth="1"/>
    <col min="5" max="5" width="23.42578125" style="297" customWidth="1"/>
    <col min="6" max="6" width="7.28515625" style="297" customWidth="1"/>
    <col min="7" max="7" width="11" style="297" customWidth="1"/>
    <col min="8" max="8" width="11.42578125" style="297" customWidth="1"/>
    <col min="9" max="9" width="9.140625" style="122" hidden="1" customWidth="1"/>
    <col min="10" max="10" width="8.85546875" style="122" hidden="1" customWidth="1"/>
    <col min="11" max="16384" width="9.140625" style="122" hidden="1"/>
  </cols>
  <sheetData>
    <row r="1" spans="1:15" ht="24.75" customHeight="1" thickBot="1" x14ac:dyDescent="0.25">
      <c r="C1" s="1164" t="e">
        <f>CONCATENATE('Demog Contact'!D$5," ",'Demog Contact'!D$6)</f>
        <v>#N/A</v>
      </c>
      <c r="D1" s="1165"/>
      <c r="E1" s="1165"/>
      <c r="F1" s="1165"/>
      <c r="G1" s="1165"/>
      <c r="H1" s="1165"/>
      <c r="I1" s="255"/>
      <c r="J1" s="575">
        <f>'Demog Contact'!L1</f>
        <v>2024</v>
      </c>
      <c r="K1" s="289"/>
      <c r="L1" s="289"/>
      <c r="M1" s="255"/>
      <c r="N1" s="255"/>
      <c r="O1" s="255"/>
    </row>
    <row r="2" spans="1:15" ht="24.95" customHeight="1" x14ac:dyDescent="0.2">
      <c r="C2" s="1105" t="s">
        <v>112</v>
      </c>
      <c r="D2" s="1106"/>
      <c r="E2" s="1106"/>
      <c r="F2" s="1166" t="s">
        <v>410</v>
      </c>
      <c r="G2" s="1166"/>
      <c r="H2" s="520" t="str">
        <f>CONCATENATE("FY ",'Demog Contact'!L1)</f>
        <v>FY 2024</v>
      </c>
      <c r="I2" s="280"/>
      <c r="J2" s="290"/>
      <c r="K2" s="278"/>
      <c r="L2" s="278"/>
      <c r="M2" s="278"/>
      <c r="N2" s="278"/>
      <c r="O2" s="278"/>
    </row>
    <row r="3" spans="1:15" ht="55.5" customHeight="1" x14ac:dyDescent="0.2">
      <c r="A3" s="282"/>
      <c r="B3" s="282"/>
      <c r="C3" s="1161" t="s">
        <v>676</v>
      </c>
      <c r="D3" s="1162"/>
      <c r="E3" s="1162"/>
      <c r="F3" s="1162"/>
      <c r="G3" s="1162"/>
      <c r="H3" s="1163"/>
      <c r="I3" s="280"/>
      <c r="J3" s="290"/>
      <c r="K3" s="278"/>
      <c r="L3" s="278"/>
      <c r="M3" s="278"/>
      <c r="N3" s="278"/>
      <c r="O3" s="278"/>
    </row>
    <row r="4" spans="1:15" ht="24.95" customHeight="1" x14ac:dyDescent="0.2">
      <c r="A4" s="282" t="s">
        <v>66</v>
      </c>
      <c r="B4" s="282" t="s">
        <v>67</v>
      </c>
      <c r="C4" s="291" t="s">
        <v>157</v>
      </c>
      <c r="D4" s="292" t="s">
        <v>210</v>
      </c>
      <c r="E4" s="293" t="s">
        <v>158</v>
      </c>
      <c r="F4" s="293" t="s">
        <v>159</v>
      </c>
      <c r="G4" s="293" t="s">
        <v>38</v>
      </c>
      <c r="H4" s="294" t="s">
        <v>87</v>
      </c>
      <c r="I4" s="295" t="s">
        <v>121</v>
      </c>
      <c r="J4" s="296" t="s">
        <v>122</v>
      </c>
      <c r="K4" s="280"/>
      <c r="L4" s="280"/>
      <c r="M4" s="280"/>
      <c r="N4" s="280"/>
      <c r="O4" s="280"/>
    </row>
    <row r="5" spans="1:15" x14ac:dyDescent="0.2">
      <c r="A5" s="122">
        <f t="shared" ref="A5:A39" si="0">start</f>
        <v>0</v>
      </c>
      <c r="B5" s="122">
        <f>J1</f>
        <v>2024</v>
      </c>
      <c r="C5" s="510"/>
      <c r="D5" s="304"/>
      <c r="E5" s="486"/>
      <c r="F5" s="503"/>
      <c r="G5" s="503"/>
      <c r="H5" s="508"/>
      <c r="J5" s="122">
        <v>20</v>
      </c>
    </row>
    <row r="6" spans="1:15" x14ac:dyDescent="0.2">
      <c r="A6" s="122">
        <f t="shared" si="0"/>
        <v>0</v>
      </c>
      <c r="B6" s="122">
        <f>J1</f>
        <v>2024</v>
      </c>
      <c r="C6" s="510"/>
      <c r="D6" s="304"/>
      <c r="E6" s="486"/>
      <c r="F6" s="503"/>
      <c r="G6" s="503"/>
      <c r="H6" s="508"/>
      <c r="J6" s="122">
        <v>20</v>
      </c>
    </row>
    <row r="7" spans="1:15" x14ac:dyDescent="0.2">
      <c r="A7" s="122">
        <f t="shared" si="0"/>
        <v>0</v>
      </c>
      <c r="B7" s="122">
        <f>J1</f>
        <v>2024</v>
      </c>
      <c r="C7" s="510"/>
      <c r="D7" s="304"/>
      <c r="E7" s="486"/>
      <c r="F7" s="503"/>
      <c r="G7" s="503"/>
      <c r="H7" s="508"/>
      <c r="J7" s="122">
        <v>20</v>
      </c>
    </row>
    <row r="8" spans="1:15" x14ac:dyDescent="0.2">
      <c r="A8" s="122">
        <f t="shared" si="0"/>
        <v>0</v>
      </c>
      <c r="B8" s="122">
        <f>J1</f>
        <v>2024</v>
      </c>
      <c r="C8" s="510"/>
      <c r="D8" s="304"/>
      <c r="E8" s="486"/>
      <c r="F8" s="503"/>
      <c r="G8" s="503"/>
      <c r="H8" s="508"/>
      <c r="J8" s="122">
        <v>20</v>
      </c>
    </row>
    <row r="9" spans="1:15" x14ac:dyDescent="0.2">
      <c r="A9" s="122">
        <f t="shared" si="0"/>
        <v>0</v>
      </c>
      <c r="B9" s="122">
        <f>J1</f>
        <v>2024</v>
      </c>
      <c r="C9" s="510"/>
      <c r="D9" s="304"/>
      <c r="E9" s="486"/>
      <c r="F9" s="503"/>
      <c r="G9" s="503"/>
      <c r="H9" s="508"/>
      <c r="J9" s="122">
        <v>20</v>
      </c>
    </row>
    <row r="10" spans="1:15" x14ac:dyDescent="0.2">
      <c r="A10" s="122">
        <f t="shared" si="0"/>
        <v>0</v>
      </c>
      <c r="B10" s="122">
        <f>J1</f>
        <v>2024</v>
      </c>
      <c r="C10" s="510"/>
      <c r="D10" s="304"/>
      <c r="E10" s="486"/>
      <c r="F10" s="503"/>
      <c r="G10" s="503"/>
      <c r="H10" s="508"/>
      <c r="J10" s="122">
        <v>20</v>
      </c>
    </row>
    <row r="11" spans="1:15" x14ac:dyDescent="0.2">
      <c r="A11" s="122">
        <f t="shared" si="0"/>
        <v>0</v>
      </c>
      <c r="B11" s="122">
        <f>J1</f>
        <v>2024</v>
      </c>
      <c r="C11" s="510"/>
      <c r="D11" s="304"/>
      <c r="E11" s="486"/>
      <c r="F11" s="503"/>
      <c r="G11" s="503"/>
      <c r="H11" s="508"/>
      <c r="J11" s="122">
        <v>20</v>
      </c>
    </row>
    <row r="12" spans="1:15" x14ac:dyDescent="0.2">
      <c r="A12" s="122">
        <f t="shared" si="0"/>
        <v>0</v>
      </c>
      <c r="B12" s="122">
        <f>J1</f>
        <v>2024</v>
      </c>
      <c r="C12" s="510"/>
      <c r="D12" s="304"/>
      <c r="E12" s="486"/>
      <c r="F12" s="503"/>
      <c r="G12" s="503"/>
      <c r="H12" s="508"/>
      <c r="J12" s="122">
        <v>20</v>
      </c>
    </row>
    <row r="13" spans="1:15" x14ac:dyDescent="0.2">
      <c r="A13" s="122">
        <f t="shared" si="0"/>
        <v>0</v>
      </c>
      <c r="B13" s="122">
        <f>J1</f>
        <v>2024</v>
      </c>
      <c r="C13" s="510"/>
      <c r="D13" s="304"/>
      <c r="E13" s="486"/>
      <c r="F13" s="503"/>
      <c r="G13" s="503"/>
      <c r="H13" s="508"/>
      <c r="J13" s="122">
        <v>20</v>
      </c>
    </row>
    <row r="14" spans="1:15" x14ac:dyDescent="0.2">
      <c r="A14" s="122">
        <f t="shared" si="0"/>
        <v>0</v>
      </c>
      <c r="B14" s="122">
        <f>J1</f>
        <v>2024</v>
      </c>
      <c r="C14" s="510"/>
      <c r="D14" s="304"/>
      <c r="E14" s="486"/>
      <c r="F14" s="503"/>
      <c r="G14" s="503"/>
      <c r="H14" s="508"/>
      <c r="J14" s="122">
        <v>20</v>
      </c>
    </row>
    <row r="15" spans="1:15" x14ac:dyDescent="0.2">
      <c r="A15" s="122">
        <f t="shared" si="0"/>
        <v>0</v>
      </c>
      <c r="B15" s="122">
        <f>J1</f>
        <v>2024</v>
      </c>
      <c r="C15" s="510"/>
      <c r="D15" s="304"/>
      <c r="E15" s="486"/>
      <c r="F15" s="503"/>
      <c r="G15" s="503"/>
      <c r="H15" s="508"/>
      <c r="J15" s="122">
        <v>20</v>
      </c>
    </row>
    <row r="16" spans="1:15" x14ac:dyDescent="0.2">
      <c r="A16" s="122">
        <f t="shared" si="0"/>
        <v>0</v>
      </c>
      <c r="B16" s="122">
        <f>J1</f>
        <v>2024</v>
      </c>
      <c r="C16" s="510"/>
      <c r="D16" s="304"/>
      <c r="E16" s="486"/>
      <c r="F16" s="503"/>
      <c r="G16" s="503"/>
      <c r="H16" s="508"/>
      <c r="J16" s="122">
        <v>20</v>
      </c>
    </row>
    <row r="17" spans="1:10" x14ac:dyDescent="0.2">
      <c r="A17" s="122">
        <f t="shared" si="0"/>
        <v>0</v>
      </c>
      <c r="B17" s="122">
        <f>J1</f>
        <v>2024</v>
      </c>
      <c r="C17" s="510"/>
      <c r="D17" s="304"/>
      <c r="E17" s="486"/>
      <c r="F17" s="503"/>
      <c r="G17" s="503"/>
      <c r="H17" s="508"/>
      <c r="J17" s="122">
        <v>20</v>
      </c>
    </row>
    <row r="18" spans="1:10" x14ac:dyDescent="0.2">
      <c r="A18" s="122">
        <f t="shared" si="0"/>
        <v>0</v>
      </c>
      <c r="B18" s="122">
        <f>J1</f>
        <v>2024</v>
      </c>
      <c r="C18" s="510"/>
      <c r="D18" s="304"/>
      <c r="E18" s="486"/>
      <c r="F18" s="503"/>
      <c r="G18" s="503"/>
      <c r="H18" s="508"/>
      <c r="J18" s="122">
        <v>20</v>
      </c>
    </row>
    <row r="19" spans="1:10" x14ac:dyDescent="0.2">
      <c r="A19" s="122">
        <f t="shared" si="0"/>
        <v>0</v>
      </c>
      <c r="B19" s="122">
        <f>J1</f>
        <v>2024</v>
      </c>
      <c r="C19" s="510"/>
      <c r="D19" s="304"/>
      <c r="E19" s="486"/>
      <c r="F19" s="503"/>
      <c r="G19" s="503"/>
      <c r="H19" s="508"/>
      <c r="J19" s="122">
        <v>20</v>
      </c>
    </row>
    <row r="20" spans="1:10" x14ac:dyDescent="0.2">
      <c r="A20" s="122">
        <f t="shared" si="0"/>
        <v>0</v>
      </c>
      <c r="B20" s="122">
        <f>J1</f>
        <v>2024</v>
      </c>
      <c r="C20" s="510"/>
      <c r="D20" s="304"/>
      <c r="E20" s="486"/>
      <c r="F20" s="503"/>
      <c r="G20" s="503"/>
      <c r="H20" s="508"/>
      <c r="J20" s="122">
        <v>20</v>
      </c>
    </row>
    <row r="21" spans="1:10" x14ac:dyDescent="0.2">
      <c r="A21" s="122">
        <f t="shared" si="0"/>
        <v>0</v>
      </c>
      <c r="B21" s="122">
        <f>J1</f>
        <v>2024</v>
      </c>
      <c r="C21" s="510"/>
      <c r="D21" s="304"/>
      <c r="E21" s="486"/>
      <c r="F21" s="503"/>
      <c r="G21" s="503"/>
      <c r="H21" s="508"/>
      <c r="J21" s="122">
        <v>20</v>
      </c>
    </row>
    <row r="22" spans="1:10" x14ac:dyDescent="0.2">
      <c r="A22" s="122">
        <f t="shared" si="0"/>
        <v>0</v>
      </c>
      <c r="B22" s="122">
        <f>J1</f>
        <v>2024</v>
      </c>
      <c r="C22" s="510"/>
      <c r="D22" s="304"/>
      <c r="E22" s="486"/>
      <c r="F22" s="503"/>
      <c r="G22" s="503"/>
      <c r="H22" s="508"/>
      <c r="J22" s="122">
        <v>20</v>
      </c>
    </row>
    <row r="23" spans="1:10" x14ac:dyDescent="0.2">
      <c r="A23" s="122">
        <f t="shared" si="0"/>
        <v>0</v>
      </c>
      <c r="B23" s="122">
        <f>J1</f>
        <v>2024</v>
      </c>
      <c r="C23" s="510"/>
      <c r="D23" s="304"/>
      <c r="E23" s="486"/>
      <c r="F23" s="503"/>
      <c r="G23" s="503"/>
      <c r="H23" s="508"/>
      <c r="J23" s="122">
        <v>20</v>
      </c>
    </row>
    <row r="24" spans="1:10" x14ac:dyDescent="0.2">
      <c r="A24" s="122">
        <f t="shared" si="0"/>
        <v>0</v>
      </c>
      <c r="B24" s="122">
        <f>J1</f>
        <v>2024</v>
      </c>
      <c r="C24" s="510"/>
      <c r="D24" s="304"/>
      <c r="E24" s="486"/>
      <c r="F24" s="503"/>
      <c r="G24" s="503"/>
      <c r="H24" s="508"/>
      <c r="J24" s="122">
        <v>20</v>
      </c>
    </row>
    <row r="25" spans="1:10" x14ac:dyDescent="0.2">
      <c r="A25" s="122">
        <f t="shared" si="0"/>
        <v>0</v>
      </c>
      <c r="B25" s="122">
        <f>J1</f>
        <v>2024</v>
      </c>
      <c r="C25" s="510"/>
      <c r="D25" s="304"/>
      <c r="E25" s="486"/>
      <c r="F25" s="503"/>
      <c r="G25" s="503"/>
      <c r="H25" s="508"/>
      <c r="J25" s="122">
        <v>20</v>
      </c>
    </row>
    <row r="26" spans="1:10" x14ac:dyDescent="0.2">
      <c r="A26" s="122">
        <f t="shared" si="0"/>
        <v>0</v>
      </c>
      <c r="B26" s="122">
        <f>J1</f>
        <v>2024</v>
      </c>
      <c r="C26" s="510"/>
      <c r="D26" s="304"/>
      <c r="E26" s="486"/>
      <c r="F26" s="503"/>
      <c r="G26" s="503"/>
      <c r="H26" s="508"/>
      <c r="J26" s="122">
        <v>20</v>
      </c>
    </row>
    <row r="27" spans="1:10" x14ac:dyDescent="0.2">
      <c r="A27" s="122">
        <f t="shared" si="0"/>
        <v>0</v>
      </c>
      <c r="B27" s="122">
        <f>J1</f>
        <v>2024</v>
      </c>
      <c r="C27" s="510"/>
      <c r="D27" s="304"/>
      <c r="E27" s="486"/>
      <c r="F27" s="503"/>
      <c r="G27" s="503"/>
      <c r="H27" s="508"/>
      <c r="J27" s="122">
        <v>20</v>
      </c>
    </row>
    <row r="28" spans="1:10" x14ac:dyDescent="0.2">
      <c r="A28" s="122">
        <f t="shared" si="0"/>
        <v>0</v>
      </c>
      <c r="B28" s="122">
        <f>J1</f>
        <v>2024</v>
      </c>
      <c r="C28" s="510"/>
      <c r="D28" s="304"/>
      <c r="E28" s="486"/>
      <c r="F28" s="503"/>
      <c r="G28" s="503"/>
      <c r="H28" s="508"/>
      <c r="J28" s="122">
        <v>20</v>
      </c>
    </row>
    <row r="29" spans="1:10" x14ac:dyDescent="0.2">
      <c r="A29" s="122">
        <f t="shared" si="0"/>
        <v>0</v>
      </c>
      <c r="B29" s="122">
        <f>J1</f>
        <v>2024</v>
      </c>
      <c r="C29" s="510"/>
      <c r="D29" s="304"/>
      <c r="E29" s="486"/>
      <c r="F29" s="503"/>
      <c r="G29" s="503"/>
      <c r="H29" s="508"/>
      <c r="J29" s="122">
        <v>20</v>
      </c>
    </row>
    <row r="30" spans="1:10" x14ac:dyDescent="0.2">
      <c r="A30" s="122">
        <f t="shared" si="0"/>
        <v>0</v>
      </c>
      <c r="B30" s="122">
        <f>J1</f>
        <v>2024</v>
      </c>
      <c r="C30" s="510"/>
      <c r="D30" s="304"/>
      <c r="E30" s="486"/>
      <c r="F30" s="503"/>
      <c r="G30" s="503"/>
      <c r="H30" s="508"/>
      <c r="J30" s="122">
        <v>20</v>
      </c>
    </row>
    <row r="31" spans="1:10" x14ac:dyDescent="0.2">
      <c r="A31" s="122">
        <f t="shared" si="0"/>
        <v>0</v>
      </c>
      <c r="B31" s="122">
        <f>J1</f>
        <v>2024</v>
      </c>
      <c r="C31" s="510"/>
      <c r="D31" s="304"/>
      <c r="E31" s="486"/>
      <c r="F31" s="503"/>
      <c r="G31" s="503"/>
      <c r="H31" s="508"/>
      <c r="J31" s="122">
        <v>20</v>
      </c>
    </row>
    <row r="32" spans="1:10" x14ac:dyDescent="0.2">
      <c r="A32" s="122">
        <f t="shared" si="0"/>
        <v>0</v>
      </c>
      <c r="B32" s="122">
        <f>J1</f>
        <v>2024</v>
      </c>
      <c r="C32" s="510"/>
      <c r="D32" s="304"/>
      <c r="E32" s="486"/>
      <c r="F32" s="503"/>
      <c r="G32" s="503"/>
      <c r="H32" s="508"/>
      <c r="J32" s="122">
        <v>20</v>
      </c>
    </row>
    <row r="33" spans="1:10" x14ac:dyDescent="0.2">
      <c r="A33" s="122">
        <f t="shared" si="0"/>
        <v>0</v>
      </c>
      <c r="B33" s="122">
        <f>J1</f>
        <v>2024</v>
      </c>
      <c r="C33" s="510"/>
      <c r="D33" s="304"/>
      <c r="E33" s="486"/>
      <c r="F33" s="503"/>
      <c r="G33" s="503"/>
      <c r="H33" s="508"/>
      <c r="J33" s="122">
        <v>20</v>
      </c>
    </row>
    <row r="34" spans="1:10" x14ac:dyDescent="0.2">
      <c r="A34" s="122">
        <f t="shared" si="0"/>
        <v>0</v>
      </c>
      <c r="B34" s="122">
        <f>J1</f>
        <v>2024</v>
      </c>
      <c r="C34" s="510"/>
      <c r="D34" s="304"/>
      <c r="E34" s="486"/>
      <c r="F34" s="503"/>
      <c r="G34" s="503"/>
      <c r="H34" s="508"/>
      <c r="J34" s="122">
        <v>20</v>
      </c>
    </row>
    <row r="35" spans="1:10" x14ac:dyDescent="0.2">
      <c r="A35" s="122">
        <f t="shared" si="0"/>
        <v>0</v>
      </c>
      <c r="B35" s="122">
        <f>J1</f>
        <v>2024</v>
      </c>
      <c r="C35" s="510"/>
      <c r="D35" s="304"/>
      <c r="E35" s="486"/>
      <c r="F35" s="503"/>
      <c r="G35" s="503"/>
      <c r="H35" s="508"/>
      <c r="J35" s="122">
        <v>20</v>
      </c>
    </row>
    <row r="36" spans="1:10" x14ac:dyDescent="0.2">
      <c r="A36" s="122">
        <f t="shared" si="0"/>
        <v>0</v>
      </c>
      <c r="B36" s="122">
        <f>J1</f>
        <v>2024</v>
      </c>
      <c r="C36" s="510"/>
      <c r="D36" s="304"/>
      <c r="E36" s="486"/>
      <c r="F36" s="503"/>
      <c r="G36" s="503"/>
      <c r="H36" s="508"/>
      <c r="J36" s="122">
        <v>20</v>
      </c>
    </row>
    <row r="37" spans="1:10" x14ac:dyDescent="0.2">
      <c r="A37" s="122">
        <f t="shared" si="0"/>
        <v>0</v>
      </c>
      <c r="B37" s="122">
        <f>J1</f>
        <v>2024</v>
      </c>
      <c r="C37" s="510"/>
      <c r="D37" s="304"/>
      <c r="E37" s="486"/>
      <c r="F37" s="503"/>
      <c r="G37" s="503"/>
      <c r="H37" s="508"/>
      <c r="J37" s="122">
        <v>20</v>
      </c>
    </row>
    <row r="38" spans="1:10" x14ac:dyDescent="0.2">
      <c r="A38" s="122">
        <f t="shared" si="0"/>
        <v>0</v>
      </c>
      <c r="B38" s="122">
        <f>J1</f>
        <v>2024</v>
      </c>
      <c r="C38" s="510"/>
      <c r="D38" s="304"/>
      <c r="E38" s="486"/>
      <c r="F38" s="503"/>
      <c r="G38" s="503"/>
      <c r="H38" s="508"/>
      <c r="J38" s="122">
        <v>20</v>
      </c>
    </row>
    <row r="39" spans="1:10" ht="13.5" thickBot="1" x14ac:dyDescent="0.25">
      <c r="A39" s="122">
        <f t="shared" si="0"/>
        <v>0</v>
      </c>
      <c r="B39" s="122">
        <f>J1</f>
        <v>2024</v>
      </c>
      <c r="C39" s="511"/>
      <c r="D39" s="248"/>
      <c r="E39" s="487"/>
      <c r="F39" s="504"/>
      <c r="G39" s="504"/>
      <c r="H39" s="509"/>
      <c r="J39" s="122">
        <v>20</v>
      </c>
    </row>
  </sheetData>
  <sheetProtection sheet="1" objects="1" scenarios="1"/>
  <mergeCells count="4">
    <mergeCell ref="C3:H3"/>
    <mergeCell ref="C1:H1"/>
    <mergeCell ref="C2:E2"/>
    <mergeCell ref="F2:G2"/>
  </mergeCells>
  <phoneticPr fontId="0" type="noConversion"/>
  <dataValidations count="1">
    <dataValidation type="textLength" operator="lessThanOrEqual" allowBlank="1" showInputMessage="1" showErrorMessage="1" error="Enter only one initial. Use First Name field for alternate names." sqref="D5:D39" xr:uid="{00000000-0002-0000-0D00-000000000000}">
      <formula1>1</formula1>
    </dataValidation>
  </dataValidations>
  <hyperlinks>
    <hyperlink ref="C3:H3" location="def_econ_interest" display="Please enter the names of all physicians with any financial or economic interest excluding salaried physicians, unless the physicians' salary is adjusted for volume of service, and all other individuals with a ten percent or greater financial or economic " xr:uid="{00000000-0004-0000-0D00-000000000000}"/>
    <hyperlink ref="H4" location="defs_NPI" display="NPI (when available and when applicable)" xr:uid="{00000000-0004-0000-0D00-000001000000}"/>
    <hyperlink ref="F2:G2" location="text_12" display="Document Explanations if needed" xr:uid="{00000000-0004-0000-0D00-000002000000}"/>
  </hyperlinks>
  <printOptions horizontalCentered="1"/>
  <pageMargins left="0.75" right="0.75" top="1" bottom="1" header="0.5" footer="0.5"/>
  <pageSetup scale="51" orientation="portrait" r:id="rId1"/>
  <headerFooter alignWithMargins="0">
    <oddFooter>&amp;L&amp;"Calibri,Regular"Diagnostic Imaging Facility Utilization Report
Fiscal Year 2024
&amp;C&amp;"Calibri,Regular"&amp;P of &amp;N&amp;R&amp;"Calibri,Regular"Minnesota Department of Health
Phone 651-201-3572
health.hccis@state.mn.us</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indexed="41"/>
  </sheetPr>
  <dimension ref="A1:X33"/>
  <sheetViews>
    <sheetView zoomScaleNormal="100" workbookViewId="0">
      <selection sqref="A1:P1"/>
    </sheetView>
  </sheetViews>
  <sheetFormatPr defaultColWidth="0" defaultRowHeight="30" customHeight="1" zeroHeight="1" x14ac:dyDescent="0.2"/>
  <cols>
    <col min="1" max="16" width="7.7109375" style="119" customWidth="1"/>
    <col min="17" max="17" width="9.7109375" style="119" hidden="1" customWidth="1"/>
    <col min="18" max="23" width="9" style="119" hidden="1" customWidth="1"/>
    <col min="24" max="24" width="0" style="119" hidden="1" customWidth="1"/>
    <col min="25" max="16384" width="7.7109375" style="119" hidden="1"/>
  </cols>
  <sheetData>
    <row r="1" spans="1:23" s="301" customFormat="1" ht="24.75" customHeight="1" thickBot="1" x14ac:dyDescent="0.25">
      <c r="A1" s="1208" t="e">
        <f>CONCATENATE('Demog Contact'!D$5," ",'Demog Contact'!D$6)</f>
        <v>#N/A</v>
      </c>
      <c r="B1" s="1208"/>
      <c r="C1" s="1208"/>
      <c r="D1" s="1208"/>
      <c r="E1" s="1208"/>
      <c r="F1" s="1208"/>
      <c r="G1" s="1208"/>
      <c r="H1" s="1208"/>
      <c r="I1" s="1208"/>
      <c r="J1" s="1208"/>
      <c r="K1" s="1208"/>
      <c r="L1" s="1208"/>
      <c r="M1" s="1208"/>
      <c r="N1" s="1208"/>
      <c r="O1" s="1208"/>
      <c r="P1" s="1208"/>
      <c r="Q1" s="299"/>
      <c r="R1" s="128"/>
      <c r="S1" s="128"/>
      <c r="T1" s="300"/>
      <c r="U1" s="300"/>
      <c r="V1" s="300"/>
      <c r="W1" s="300"/>
    </row>
    <row r="2" spans="1:23" ht="30" customHeight="1" x14ac:dyDescent="0.2">
      <c r="A2" s="1104" t="s">
        <v>113</v>
      </c>
      <c r="B2" s="1082"/>
      <c r="C2" s="1082"/>
      <c r="D2" s="1082"/>
      <c r="E2" s="1082"/>
      <c r="F2" s="1082"/>
      <c r="G2" s="1082"/>
      <c r="H2" s="1082"/>
      <c r="I2" s="1082"/>
      <c r="J2" s="1091" t="str">
        <f>CONCATENATE("FY ",'Demog Contact'!L1)</f>
        <v>FY 2024</v>
      </c>
      <c r="K2" s="1169"/>
      <c r="L2" s="1167" t="s">
        <v>409</v>
      </c>
      <c r="M2" s="1168"/>
      <c r="N2" s="1168"/>
      <c r="O2" s="805" t="s">
        <v>752</v>
      </c>
      <c r="P2" s="805"/>
      <c r="R2" s="300"/>
      <c r="S2" s="300"/>
      <c r="T2" s="300"/>
      <c r="U2" s="300"/>
      <c r="V2" s="300"/>
      <c r="W2" s="300"/>
    </row>
    <row r="3" spans="1:23" s="126" customFormat="1" ht="42.75" customHeight="1" x14ac:dyDescent="0.2">
      <c r="A3" s="1209" t="s">
        <v>781</v>
      </c>
      <c r="B3" s="1210"/>
      <c r="C3" s="1210"/>
      <c r="D3" s="1210"/>
      <c r="E3" s="1210"/>
      <c r="F3" s="1210"/>
      <c r="G3" s="1210"/>
      <c r="H3" s="1210"/>
      <c r="I3" s="1210"/>
      <c r="J3" s="1210"/>
      <c r="K3" s="1211"/>
      <c r="L3" s="804" t="s">
        <v>752</v>
      </c>
      <c r="M3" s="805"/>
      <c r="N3" s="805"/>
      <c r="O3" s="805"/>
      <c r="P3" s="805"/>
      <c r="R3" s="302"/>
      <c r="S3" s="302"/>
      <c r="T3" s="302"/>
      <c r="U3" s="302"/>
      <c r="V3" s="302"/>
      <c r="W3" s="302"/>
    </row>
    <row r="4" spans="1:23" ht="30" customHeight="1" x14ac:dyDescent="0.2">
      <c r="A4" s="1229">
        <v>7594</v>
      </c>
      <c r="B4" s="1222" t="str">
        <f>CONCATENATE("Did your Facility have any Major Capital Expenditure Commitments in FY ",'Demog Contact'!L1," that were over $1 million dollars each?")</f>
        <v>Did your Facility have any Major Capital Expenditure Commitments in FY 2024 that were over $1 million dollars each?</v>
      </c>
      <c r="C4" s="1223"/>
      <c r="D4" s="1223"/>
      <c r="E4" s="1223"/>
      <c r="F4" s="1223"/>
      <c r="G4" s="1223"/>
      <c r="H4" s="1223"/>
      <c r="I4" s="1224"/>
      <c r="J4" s="303" t="s">
        <v>265</v>
      </c>
      <c r="K4" s="244" t="s">
        <v>266</v>
      </c>
      <c r="L4" s="804" t="s">
        <v>752</v>
      </c>
      <c r="M4" s="805"/>
      <c r="N4" s="805"/>
      <c r="O4" s="805"/>
      <c r="P4" s="805"/>
      <c r="R4" s="300"/>
      <c r="S4" s="300"/>
      <c r="T4" s="300"/>
      <c r="U4" s="300"/>
      <c r="V4" s="300"/>
      <c r="W4" s="300"/>
    </row>
    <row r="5" spans="1:23" ht="30" customHeight="1" x14ac:dyDescent="0.2">
      <c r="A5" s="1230"/>
      <c r="B5" s="1225"/>
      <c r="C5" s="1226"/>
      <c r="D5" s="1226"/>
      <c r="E5" s="1226"/>
      <c r="F5" s="1226"/>
      <c r="G5" s="1226"/>
      <c r="H5" s="1226"/>
      <c r="I5" s="1227"/>
      <c r="J5" s="304"/>
      <c r="K5" s="305"/>
      <c r="L5" s="1202" t="str">
        <f>IF(COUNTBLANK(J5:K5)=2,"Please enter response.",IF(COUNTBLANK(J5:K5)&lt;&gt;1,"Please VERIFY response.",""))</f>
        <v>Please enter response.</v>
      </c>
      <c r="M5" s="589"/>
      <c r="N5" s="589"/>
      <c r="O5" s="589"/>
      <c r="P5" s="533" t="s">
        <v>752</v>
      </c>
      <c r="R5" s="306" t="str">
        <f>IF(AND(ISBLANK(J5),(NOT(ISBLANK(K5)))),"X","")</f>
        <v/>
      </c>
      <c r="S5" s="300"/>
      <c r="T5" s="300"/>
      <c r="U5" s="1198" t="s">
        <v>117</v>
      </c>
      <c r="V5" s="1048"/>
      <c r="W5" s="1199"/>
    </row>
    <row r="6" spans="1:23" ht="30" customHeight="1" x14ac:dyDescent="0.2">
      <c r="A6" s="307">
        <v>7595</v>
      </c>
      <c r="B6" s="1218" t="s">
        <v>677</v>
      </c>
      <c r="C6" s="1189"/>
      <c r="D6" s="1189"/>
      <c r="E6" s="1189"/>
      <c r="F6" s="1189"/>
      <c r="G6" s="1189"/>
      <c r="H6" s="1189"/>
      <c r="I6" s="1219"/>
      <c r="J6" s="1220"/>
      <c r="K6" s="1221"/>
      <c r="L6" s="804" t="s">
        <v>752</v>
      </c>
      <c r="M6" s="814"/>
      <c r="N6" s="814"/>
      <c r="O6" s="814"/>
      <c r="P6" s="814"/>
      <c r="R6" s="300"/>
      <c r="S6" s="300"/>
      <c r="T6" s="300"/>
      <c r="U6" s="308" t="s">
        <v>118</v>
      </c>
      <c r="V6" s="308" t="s">
        <v>119</v>
      </c>
      <c r="W6" s="308" t="s">
        <v>120</v>
      </c>
    </row>
    <row r="7" spans="1:23" ht="30" customHeight="1" thickBot="1" x14ac:dyDescent="0.25">
      <c r="A7" s="309">
        <v>7596</v>
      </c>
      <c r="B7" s="1203" t="s">
        <v>275</v>
      </c>
      <c r="C7" s="1204"/>
      <c r="D7" s="1204"/>
      <c r="E7" s="1204"/>
      <c r="F7" s="1204"/>
      <c r="G7" s="1204"/>
      <c r="H7" s="1204"/>
      <c r="I7" s="1205"/>
      <c r="J7" s="1200"/>
      <c r="K7" s="1201"/>
      <c r="L7" s="668" t="s">
        <v>752</v>
      </c>
      <c r="M7" s="669"/>
      <c r="N7" s="669"/>
      <c r="O7" s="669"/>
      <c r="P7" s="669"/>
      <c r="R7" s="300"/>
      <c r="S7" s="300"/>
      <c r="T7" s="300"/>
      <c r="U7" s="310">
        <f>code_7596</f>
        <v>0</v>
      </c>
      <c r="V7" s="310">
        <f>O23</f>
        <v>0</v>
      </c>
      <c r="W7" s="310">
        <f>'Capital Expend Project Specific'!P1</f>
        <v>0</v>
      </c>
    </row>
    <row r="8" spans="1:23" ht="30" customHeight="1" thickBot="1" x14ac:dyDescent="0.25">
      <c r="A8" s="987" t="s">
        <v>752</v>
      </c>
      <c r="B8" s="987"/>
      <c r="C8" s="987"/>
      <c r="D8" s="987"/>
      <c r="E8" s="987"/>
      <c r="F8" s="987"/>
      <c r="G8" s="987"/>
      <c r="H8" s="1206" t="str">
        <f>IF(AND(OR(ISNA(cap_exp_contact),TRIM(cap_exp_contact)=""),NOT(ISBLANK(code_7594))),"The Capital Expenditure Contact information has NOT been provided.  Click here to go to Capital Expenditure Contact Section to fill in this information now.","")</f>
        <v/>
      </c>
      <c r="I8" s="1207"/>
      <c r="J8" s="1207"/>
      <c r="K8" s="1207"/>
      <c r="L8" s="1207"/>
      <c r="M8" s="1207"/>
      <c r="N8" s="1207"/>
      <c r="O8" s="1207"/>
      <c r="P8" s="1207"/>
      <c r="R8" s="300"/>
      <c r="S8" s="300"/>
      <c r="T8" s="300"/>
      <c r="U8" s="300"/>
      <c r="V8" s="300"/>
      <c r="W8" s="300"/>
    </row>
    <row r="9" spans="1:23" ht="30" customHeight="1" x14ac:dyDescent="0.2">
      <c r="A9" s="1104" t="s">
        <v>114</v>
      </c>
      <c r="B9" s="1082"/>
      <c r="C9" s="1082"/>
      <c r="D9" s="1082"/>
      <c r="E9" s="1082"/>
      <c r="F9" s="1082"/>
      <c r="G9" s="1082"/>
      <c r="H9" s="1082"/>
      <c r="I9" s="1082"/>
      <c r="J9" s="1082"/>
      <c r="K9" s="1082"/>
      <c r="L9" s="1235" t="s">
        <v>409</v>
      </c>
      <c r="M9" s="1235"/>
      <c r="N9" s="1235"/>
      <c r="O9" s="1091" t="str">
        <f>CONCATENATE("FY ",'Demog Contact'!L1)</f>
        <v>FY 2024</v>
      </c>
      <c r="P9" s="1231"/>
      <c r="R9" s="300"/>
      <c r="S9" s="300"/>
      <c r="T9" s="300"/>
      <c r="U9" s="300"/>
      <c r="V9" s="300"/>
      <c r="W9" s="300"/>
    </row>
    <row r="10" spans="1:23" ht="38.25" customHeight="1" x14ac:dyDescent="0.2">
      <c r="A10" s="911" t="s">
        <v>782</v>
      </c>
      <c r="B10" s="912"/>
      <c r="C10" s="912"/>
      <c r="D10" s="912"/>
      <c r="E10" s="912"/>
      <c r="F10" s="912"/>
      <c r="G10" s="912"/>
      <c r="H10" s="912"/>
      <c r="I10" s="912"/>
      <c r="J10" s="912"/>
      <c r="K10" s="912"/>
      <c r="L10" s="912"/>
      <c r="M10" s="912"/>
      <c r="N10" s="1179"/>
      <c r="O10" s="1179"/>
      <c r="P10" s="1228"/>
      <c r="R10" s="300"/>
      <c r="S10" s="300"/>
      <c r="T10" s="300"/>
      <c r="U10" s="300"/>
      <c r="V10" s="300"/>
      <c r="W10" s="300"/>
    </row>
    <row r="11" spans="1:23" ht="30" customHeight="1" thickBot="1" x14ac:dyDescent="0.25">
      <c r="A11" s="1174" t="s">
        <v>752</v>
      </c>
      <c r="B11" s="1175"/>
      <c r="C11" s="1175"/>
      <c r="D11" s="1175"/>
      <c r="E11" s="547" t="s">
        <v>752</v>
      </c>
      <c r="F11" s="1232" t="s">
        <v>161</v>
      </c>
      <c r="G11" s="1233"/>
      <c r="H11" s="547" t="s">
        <v>752</v>
      </c>
      <c r="I11" s="1232" t="s">
        <v>162</v>
      </c>
      <c r="J11" s="1233"/>
      <c r="K11" s="547" t="s">
        <v>752</v>
      </c>
      <c r="L11" s="1232" t="s">
        <v>172</v>
      </c>
      <c r="M11" s="1233"/>
      <c r="N11" s="547" t="s">
        <v>752</v>
      </c>
      <c r="O11" s="1232" t="s">
        <v>173</v>
      </c>
      <c r="P11" s="1234"/>
      <c r="R11" s="300"/>
      <c r="S11" s="300"/>
      <c r="T11" s="300"/>
      <c r="U11" s="300"/>
      <c r="V11" s="300"/>
      <c r="W11" s="300"/>
    </row>
    <row r="12" spans="1:23" ht="30" customHeight="1" x14ac:dyDescent="0.2">
      <c r="A12" s="1212" t="s">
        <v>174</v>
      </c>
      <c r="B12" s="1213"/>
      <c r="C12" s="1213"/>
      <c r="D12" s="1214"/>
      <c r="E12" s="311">
        <v>7597</v>
      </c>
      <c r="F12" s="1215">
        <f>F13+F18</f>
        <v>0</v>
      </c>
      <c r="G12" s="1217"/>
      <c r="H12" s="311">
        <v>7620</v>
      </c>
      <c r="I12" s="1215">
        <f>I13+I18</f>
        <v>0</v>
      </c>
      <c r="J12" s="1217"/>
      <c r="K12" s="311">
        <v>7643</v>
      </c>
      <c r="L12" s="1215">
        <f>L13+L18</f>
        <v>0</v>
      </c>
      <c r="M12" s="1217"/>
      <c r="N12" s="311">
        <v>7666</v>
      </c>
      <c r="O12" s="1215">
        <f>O13+O18</f>
        <v>0</v>
      </c>
      <c r="P12" s="1216"/>
      <c r="R12" s="300"/>
      <c r="S12" s="300"/>
      <c r="T12" s="300"/>
      <c r="U12" s="300"/>
      <c r="V12" s="300"/>
      <c r="W12" s="300"/>
    </row>
    <row r="13" spans="1:23" ht="37.5" customHeight="1" x14ac:dyDescent="0.2">
      <c r="A13" s="566" t="s">
        <v>752</v>
      </c>
      <c r="B13" s="1178" t="s">
        <v>678</v>
      </c>
      <c r="C13" s="1179"/>
      <c r="D13" s="1180"/>
      <c r="E13" s="312">
        <v>7610</v>
      </c>
      <c r="F13" s="1181">
        <f>SUM(F14:G17)</f>
        <v>0</v>
      </c>
      <c r="G13" s="1182"/>
      <c r="H13" s="312">
        <v>7633</v>
      </c>
      <c r="I13" s="1181">
        <f>SUM(I14:J17)</f>
        <v>0</v>
      </c>
      <c r="J13" s="1184"/>
      <c r="K13" s="312">
        <v>7656</v>
      </c>
      <c r="L13" s="1181">
        <f>SUM(L14:M17)</f>
        <v>0</v>
      </c>
      <c r="M13" s="1184"/>
      <c r="N13" s="312">
        <v>7679</v>
      </c>
      <c r="O13" s="1185">
        <f>SUM(O14:P17)</f>
        <v>0</v>
      </c>
      <c r="P13" s="1177"/>
      <c r="R13" s="300"/>
      <c r="S13" s="300"/>
      <c r="T13" s="300"/>
      <c r="U13" s="300"/>
      <c r="V13" s="300"/>
      <c r="W13" s="300"/>
    </row>
    <row r="14" spans="1:23" ht="30" customHeight="1" x14ac:dyDescent="0.2">
      <c r="A14" s="566" t="s">
        <v>752</v>
      </c>
      <c r="B14" s="556" t="s">
        <v>752</v>
      </c>
      <c r="C14" s="1172" t="s">
        <v>269</v>
      </c>
      <c r="D14" s="1173"/>
      <c r="E14" s="313">
        <v>7611</v>
      </c>
      <c r="F14" s="1170"/>
      <c r="G14" s="1171"/>
      <c r="H14" s="313">
        <v>7634</v>
      </c>
      <c r="I14" s="1170"/>
      <c r="J14" s="1171"/>
      <c r="K14" s="313">
        <v>7657</v>
      </c>
      <c r="L14" s="1170"/>
      <c r="M14" s="1171"/>
      <c r="N14" s="313">
        <v>7680</v>
      </c>
      <c r="O14" s="1176">
        <f>F14+I14+L14</f>
        <v>0</v>
      </c>
      <c r="P14" s="1177"/>
      <c r="R14" s="300"/>
      <c r="S14" s="300"/>
      <c r="T14" s="300"/>
      <c r="U14" s="300"/>
      <c r="V14" s="300"/>
      <c r="W14" s="300"/>
    </row>
    <row r="15" spans="1:23" ht="30" customHeight="1" x14ac:dyDescent="0.2">
      <c r="A15" s="566" t="s">
        <v>752</v>
      </c>
      <c r="B15" s="556" t="s">
        <v>752</v>
      </c>
      <c r="C15" s="1172" t="s">
        <v>272</v>
      </c>
      <c r="D15" s="1173"/>
      <c r="E15" s="313">
        <v>7612</v>
      </c>
      <c r="F15" s="1170"/>
      <c r="G15" s="1171"/>
      <c r="H15" s="313">
        <v>7635</v>
      </c>
      <c r="I15" s="1170"/>
      <c r="J15" s="1171"/>
      <c r="K15" s="313">
        <v>7658</v>
      </c>
      <c r="L15" s="1170"/>
      <c r="M15" s="1171"/>
      <c r="N15" s="313">
        <v>7681</v>
      </c>
      <c r="O15" s="1176">
        <f>F15+I15+L15</f>
        <v>0</v>
      </c>
      <c r="P15" s="1177"/>
      <c r="R15" s="300"/>
      <c r="S15" s="300"/>
      <c r="T15" s="300"/>
      <c r="U15" s="300"/>
      <c r="V15" s="300"/>
      <c r="W15" s="300"/>
    </row>
    <row r="16" spans="1:23" ht="30" customHeight="1" x14ac:dyDescent="0.2">
      <c r="A16" s="566" t="s">
        <v>752</v>
      </c>
      <c r="B16" s="556" t="s">
        <v>752</v>
      </c>
      <c r="C16" s="1172" t="s">
        <v>270</v>
      </c>
      <c r="D16" s="1173"/>
      <c r="E16" s="313">
        <v>7613</v>
      </c>
      <c r="F16" s="1170"/>
      <c r="G16" s="1171"/>
      <c r="H16" s="313">
        <v>7636</v>
      </c>
      <c r="I16" s="1170"/>
      <c r="J16" s="1171"/>
      <c r="K16" s="313">
        <v>7659</v>
      </c>
      <c r="L16" s="1170"/>
      <c r="M16" s="1171"/>
      <c r="N16" s="313">
        <v>7682</v>
      </c>
      <c r="O16" s="1176">
        <f>F16+I16+L16</f>
        <v>0</v>
      </c>
      <c r="P16" s="1177"/>
      <c r="R16" s="300"/>
      <c r="S16" s="300"/>
      <c r="T16" s="300"/>
      <c r="U16" s="300"/>
      <c r="V16" s="300"/>
      <c r="W16" s="300"/>
    </row>
    <row r="17" spans="1:24" ht="30" customHeight="1" x14ac:dyDescent="0.2">
      <c r="A17" s="566" t="s">
        <v>752</v>
      </c>
      <c r="B17" s="567" t="s">
        <v>752</v>
      </c>
      <c r="C17" s="1172" t="s">
        <v>176</v>
      </c>
      <c r="D17" s="1173"/>
      <c r="E17" s="313">
        <v>7614</v>
      </c>
      <c r="F17" s="1170"/>
      <c r="G17" s="1171"/>
      <c r="H17" s="313">
        <v>7637</v>
      </c>
      <c r="I17" s="1170"/>
      <c r="J17" s="1171"/>
      <c r="K17" s="313">
        <v>7660</v>
      </c>
      <c r="L17" s="1170"/>
      <c r="M17" s="1171"/>
      <c r="N17" s="313">
        <v>7683</v>
      </c>
      <c r="O17" s="1176">
        <f>F17+I17+L17</f>
        <v>0</v>
      </c>
      <c r="P17" s="1177"/>
      <c r="R17" s="300"/>
      <c r="S17" s="300"/>
      <c r="T17" s="300"/>
      <c r="U17" s="300"/>
      <c r="V17" s="300"/>
      <c r="W17" s="300"/>
    </row>
    <row r="18" spans="1:24" ht="30" customHeight="1" x14ac:dyDescent="0.2">
      <c r="A18" s="566" t="s">
        <v>752</v>
      </c>
      <c r="B18" s="1189" t="s">
        <v>175</v>
      </c>
      <c r="C18" s="1195"/>
      <c r="D18" s="1196"/>
      <c r="E18" s="313">
        <v>7609</v>
      </c>
      <c r="F18" s="1170"/>
      <c r="G18" s="1171"/>
      <c r="H18" s="313">
        <v>7632</v>
      </c>
      <c r="I18" s="1170"/>
      <c r="J18" s="1171"/>
      <c r="K18" s="313">
        <v>7655</v>
      </c>
      <c r="L18" s="1170"/>
      <c r="M18" s="1171"/>
      <c r="N18" s="313">
        <v>7678</v>
      </c>
      <c r="O18" s="1176">
        <f>F18+I18+L18</f>
        <v>0</v>
      </c>
      <c r="P18" s="1177"/>
      <c r="R18" s="300"/>
      <c r="S18" s="300"/>
      <c r="T18" s="300"/>
      <c r="U18" s="300"/>
      <c r="V18" s="300"/>
      <c r="W18" s="300"/>
    </row>
    <row r="19" spans="1:24" ht="30" customHeight="1" x14ac:dyDescent="0.2">
      <c r="A19" s="1183" t="s">
        <v>177</v>
      </c>
      <c r="B19" s="1179"/>
      <c r="C19" s="1179"/>
      <c r="D19" s="1180"/>
      <c r="E19" s="312">
        <v>7615</v>
      </c>
      <c r="F19" s="1181">
        <f>SUM(F20:G22)</f>
        <v>0</v>
      </c>
      <c r="G19" s="1182"/>
      <c r="H19" s="312">
        <v>7638</v>
      </c>
      <c r="I19" s="1181">
        <f>SUM(I20:J22)</f>
        <v>0</v>
      </c>
      <c r="J19" s="1184"/>
      <c r="K19" s="312">
        <v>7661</v>
      </c>
      <c r="L19" s="1181">
        <f>SUM(L20:M22)</f>
        <v>0</v>
      </c>
      <c r="M19" s="1184"/>
      <c r="N19" s="312">
        <v>7684</v>
      </c>
      <c r="O19" s="1185">
        <f>SUM(O20:P22)</f>
        <v>0</v>
      </c>
      <c r="P19" s="1177"/>
      <c r="R19" s="300"/>
      <c r="S19" s="300"/>
      <c r="T19" s="300"/>
      <c r="U19" s="300"/>
      <c r="V19" s="300"/>
      <c r="W19" s="300"/>
    </row>
    <row r="20" spans="1:24" ht="30" customHeight="1" x14ac:dyDescent="0.2">
      <c r="A20" s="566" t="s">
        <v>752</v>
      </c>
      <c r="B20" s="1189" t="s">
        <v>178</v>
      </c>
      <c r="C20" s="1179"/>
      <c r="D20" s="1180"/>
      <c r="E20" s="313">
        <v>7616</v>
      </c>
      <c r="F20" s="1170"/>
      <c r="G20" s="1171"/>
      <c r="H20" s="313">
        <v>7639</v>
      </c>
      <c r="I20" s="1170"/>
      <c r="J20" s="1171"/>
      <c r="K20" s="313">
        <v>7662</v>
      </c>
      <c r="L20" s="1170"/>
      <c r="M20" s="1171"/>
      <c r="N20" s="313">
        <v>7685</v>
      </c>
      <c r="O20" s="1176">
        <f>F20+I20+L20</f>
        <v>0</v>
      </c>
      <c r="P20" s="1177"/>
      <c r="R20" s="300"/>
      <c r="S20" s="300"/>
      <c r="T20" s="300"/>
      <c r="U20" s="300"/>
      <c r="V20" s="300"/>
      <c r="W20" s="300"/>
    </row>
    <row r="21" spans="1:24" ht="30" customHeight="1" x14ac:dyDescent="0.2">
      <c r="A21" s="566" t="s">
        <v>752</v>
      </c>
      <c r="B21" s="1189" t="s">
        <v>179</v>
      </c>
      <c r="C21" s="1179"/>
      <c r="D21" s="1180"/>
      <c r="E21" s="313">
        <v>7617</v>
      </c>
      <c r="F21" s="1170"/>
      <c r="G21" s="1171"/>
      <c r="H21" s="313">
        <v>7640</v>
      </c>
      <c r="I21" s="1170"/>
      <c r="J21" s="1171"/>
      <c r="K21" s="313">
        <v>7663</v>
      </c>
      <c r="L21" s="1170"/>
      <c r="M21" s="1171"/>
      <c r="N21" s="313">
        <v>7686</v>
      </c>
      <c r="O21" s="1176">
        <f>F21+I21+L21</f>
        <v>0</v>
      </c>
      <c r="P21" s="1177"/>
      <c r="R21" s="300"/>
      <c r="S21" s="300"/>
      <c r="T21" s="300"/>
      <c r="U21" s="300"/>
      <c r="V21" s="300"/>
      <c r="W21" s="300"/>
    </row>
    <row r="22" spans="1:24" ht="30" customHeight="1" x14ac:dyDescent="0.2">
      <c r="A22" s="566" t="s">
        <v>752</v>
      </c>
      <c r="B22" s="1189" t="s">
        <v>180</v>
      </c>
      <c r="C22" s="1179"/>
      <c r="D22" s="1180"/>
      <c r="E22" s="313">
        <v>7618</v>
      </c>
      <c r="F22" s="1170"/>
      <c r="G22" s="1171"/>
      <c r="H22" s="313">
        <v>7641</v>
      </c>
      <c r="I22" s="1170"/>
      <c r="J22" s="1171"/>
      <c r="K22" s="313">
        <v>7664</v>
      </c>
      <c r="L22" s="1170"/>
      <c r="M22" s="1171"/>
      <c r="N22" s="313">
        <v>7687</v>
      </c>
      <c r="O22" s="1176">
        <f>F22+I22+L22</f>
        <v>0</v>
      </c>
      <c r="P22" s="1177"/>
      <c r="R22" s="300"/>
      <c r="S22" s="300"/>
      <c r="T22" s="300"/>
      <c r="U22" s="300"/>
      <c r="V22" s="300"/>
      <c r="W22" s="300"/>
    </row>
    <row r="23" spans="1:24" ht="30" customHeight="1" thickBot="1" x14ac:dyDescent="0.25">
      <c r="A23" s="1186" t="s">
        <v>181</v>
      </c>
      <c r="B23" s="1187"/>
      <c r="C23" s="1187"/>
      <c r="D23" s="1188"/>
      <c r="E23" s="314">
        <v>7619</v>
      </c>
      <c r="F23" s="1193">
        <f>SUM(F12+F19)</f>
        <v>0</v>
      </c>
      <c r="G23" s="1197"/>
      <c r="H23" s="314">
        <v>7642</v>
      </c>
      <c r="I23" s="1193">
        <f>SUM(I12+I19)</f>
        <v>0</v>
      </c>
      <c r="J23" s="1194"/>
      <c r="K23" s="314">
        <v>7665</v>
      </c>
      <c r="L23" s="1190">
        <f>SUM(L12+L19)</f>
        <v>0</v>
      </c>
      <c r="M23" s="1192"/>
      <c r="N23" s="314">
        <v>7688</v>
      </c>
      <c r="O23" s="1190">
        <f>O12+O19</f>
        <v>0</v>
      </c>
      <c r="P23" s="1191"/>
      <c r="R23" s="300"/>
      <c r="S23" s="300"/>
      <c r="T23" s="300"/>
      <c r="U23" s="300"/>
      <c r="V23" s="300"/>
      <c r="W23" s="300"/>
      <c r="X23" s="315"/>
    </row>
    <row r="24" spans="1:24" ht="56.25" customHeight="1" x14ac:dyDescent="0.2">
      <c r="A24" s="1238" t="str">
        <f>IF('Capital Expend Project Specific'!K1=J6,"","Please review.  The number of Projects reported in Section 13 must equal the number of projects reported on the Capital Expenditure Project Specific Tab: "&amp;TEXT('Capital Expend Project Specific'!K1,"00"))</f>
        <v/>
      </c>
      <c r="B24" s="1239"/>
      <c r="C24" s="1239"/>
      <c r="D24" s="1239"/>
      <c r="E24" s="1239"/>
      <c r="F24" s="1239"/>
      <c r="G24" s="1240" t="str">
        <f>IF('Capital Expend Project Specific'!P1&lt;&gt;J7,CONCATENATE("Please review. The total dollars for expenditures reported in Section 13 must equal the total dollars reported on the Capital Expenditure Project Specific Tab:$  "&amp;TEXT('Capital Expend Project Specific'!P1,"$0,000")),"")</f>
        <v/>
      </c>
      <c r="H24" s="1241"/>
      <c r="I24" s="1241"/>
      <c r="J24" s="1241"/>
      <c r="K24" s="1241"/>
      <c r="L24" s="1241"/>
      <c r="M24" s="1240" t="str">
        <f>IF(O23=J7,"","Please review.  The value for 7688 in Section 14 must equal the value of code 7596 in Section 13.  "&amp;TEXT(J7,"$0,000") )</f>
        <v/>
      </c>
      <c r="N24" s="1242"/>
      <c r="O24" s="1242"/>
      <c r="P24" s="1242"/>
      <c r="R24" s="300"/>
      <c r="S24" s="300"/>
      <c r="T24" s="300"/>
      <c r="U24" s="300"/>
      <c r="V24" s="300"/>
      <c r="W24" s="300"/>
    </row>
    <row r="25" spans="1:24" ht="21" customHeight="1" x14ac:dyDescent="0.2">
      <c r="A25" s="1243" t="str">
        <f>IF(LEN(R25)&gt;0,"Section 13: Number of Projects","")</f>
        <v/>
      </c>
      <c r="B25" s="1244"/>
      <c r="C25" s="1244"/>
      <c r="D25" s="1244"/>
      <c r="E25" s="1244"/>
      <c r="F25" s="1244"/>
      <c r="G25" s="814" t="s">
        <v>752</v>
      </c>
      <c r="H25" s="814"/>
      <c r="I25" s="814"/>
      <c r="J25" s="1243" t="str">
        <f>IF(LEN(T25)&gt;0,"Section 13: Total dollars for expenditures","")</f>
        <v/>
      </c>
      <c r="K25" s="1244"/>
      <c r="L25" s="1244"/>
      <c r="M25" s="1244"/>
      <c r="N25" s="1244"/>
      <c r="O25" s="814" t="s">
        <v>752</v>
      </c>
      <c r="P25" s="814"/>
      <c r="R25" s="317" t="str">
        <f>IF(LEN(A24)&gt;0,"X","")</f>
        <v/>
      </c>
      <c r="S25" s="300"/>
      <c r="T25" s="317" t="str">
        <f>IF(OR(LEN(G24)&gt;0,LEN(M24)&gt;0),"X","")</f>
        <v/>
      </c>
      <c r="U25" s="300"/>
      <c r="V25" s="300"/>
      <c r="W25" s="300"/>
    </row>
    <row r="26" spans="1:24" ht="45" customHeight="1" x14ac:dyDescent="0.2">
      <c r="A26" s="814" t="s">
        <v>752</v>
      </c>
      <c r="B26" s="814"/>
      <c r="C26" s="814"/>
      <c r="D26" s="814"/>
      <c r="E26" s="1245" t="str">
        <f>IF(LEN(K5)&gt;0,"","Capital Expenditure Project Specific Tab
Please supply information on each project")</f>
        <v>Capital Expenditure Project Specific Tab
Please supply information on each project</v>
      </c>
      <c r="F26" s="1246"/>
      <c r="G26" s="1246"/>
      <c r="H26" s="1246"/>
      <c r="I26" s="1246"/>
      <c r="J26" s="1246"/>
      <c r="K26" s="1246"/>
      <c r="L26" s="1246"/>
      <c r="M26" s="1247" t="str">
        <f>IF(AND(R25&lt;&gt;"X",T25&lt;&gt;"X",'Capital Expend Project Specific'!AH14&gt;0),"Please go to the Capital Expend Project Specific tab and provide required information","")</f>
        <v/>
      </c>
      <c r="N26" s="1247"/>
      <c r="O26" s="1247"/>
      <c r="P26" s="1247"/>
      <c r="R26" s="300"/>
      <c r="S26" s="300"/>
      <c r="T26" s="300"/>
      <c r="U26" s="300"/>
      <c r="V26" s="300"/>
      <c r="W26" s="300"/>
    </row>
    <row r="27" spans="1:24" ht="3" customHeight="1" x14ac:dyDescent="0.2">
      <c r="A27" s="1248" t="s">
        <v>757</v>
      </c>
      <c r="B27" s="1248"/>
      <c r="C27" s="1248"/>
      <c r="D27" s="1248"/>
      <c r="E27" s="1248"/>
      <c r="F27" s="1248"/>
      <c r="G27" s="1248"/>
      <c r="H27" s="1248"/>
      <c r="I27" s="1248"/>
      <c r="J27" s="1248"/>
      <c r="K27" s="1248"/>
      <c r="L27" s="1248"/>
      <c r="M27" s="1248"/>
      <c r="N27" s="1248"/>
      <c r="O27" s="1248"/>
      <c r="P27" s="1248"/>
      <c r="R27" s="300"/>
      <c r="S27" s="300"/>
      <c r="T27" s="300"/>
      <c r="U27" s="300"/>
      <c r="V27" s="300"/>
      <c r="W27" s="300"/>
    </row>
    <row r="28" spans="1:24" ht="24" hidden="1" customHeight="1" x14ac:dyDescent="0.2">
      <c r="A28" s="319"/>
      <c r="B28" s="319"/>
      <c r="C28" s="319"/>
      <c r="D28" s="319"/>
      <c r="E28" s="320"/>
      <c r="F28" s="180"/>
      <c r="G28" s="321"/>
      <c r="H28" s="321"/>
      <c r="I28" s="321"/>
      <c r="J28" s="321"/>
      <c r="K28" s="321"/>
      <c r="L28" s="1249"/>
      <c r="M28" s="867"/>
      <c r="N28" s="867"/>
      <c r="O28" s="867"/>
      <c r="R28" s="300"/>
      <c r="S28" s="300"/>
      <c r="T28" s="300"/>
      <c r="U28" s="300"/>
      <c r="V28" s="300"/>
      <c r="W28" s="300"/>
    </row>
    <row r="29" spans="1:24" ht="16.5" hidden="1" customHeight="1" x14ac:dyDescent="0.2">
      <c r="A29" s="1236"/>
      <c r="B29" s="1236"/>
      <c r="C29" s="1236"/>
      <c r="D29" s="1236"/>
      <c r="E29" s="1236"/>
      <c r="F29" s="1236"/>
      <c r="G29" s="1236"/>
      <c r="R29" s="300"/>
      <c r="S29" s="300"/>
      <c r="T29" s="300"/>
      <c r="U29" s="300"/>
      <c r="V29" s="300"/>
      <c r="W29" s="300"/>
    </row>
    <row r="30" spans="1:24" ht="15.75" hidden="1" customHeight="1" x14ac:dyDescent="0.2">
      <c r="A30" s="1237"/>
      <c r="B30" s="1237"/>
      <c r="C30" s="1237"/>
      <c r="D30" s="1237"/>
      <c r="E30" s="1237"/>
      <c r="F30" s="1237"/>
      <c r="G30" s="1237"/>
      <c r="R30" s="300"/>
      <c r="S30" s="300"/>
      <c r="T30" s="300"/>
      <c r="U30" s="300"/>
      <c r="V30" s="300"/>
      <c r="W30" s="300"/>
    </row>
    <row r="31" spans="1:24" ht="30" hidden="1" customHeight="1" x14ac:dyDescent="0.2">
      <c r="R31" s="300"/>
      <c r="S31" s="300"/>
      <c r="T31" s="300"/>
      <c r="U31" s="300"/>
      <c r="V31" s="300"/>
      <c r="W31" s="300"/>
    </row>
    <row r="32" spans="1:24" ht="30" hidden="1" customHeight="1" x14ac:dyDescent="0.2">
      <c r="R32" s="300"/>
      <c r="S32" s="300"/>
      <c r="T32" s="300"/>
      <c r="U32" s="300"/>
      <c r="V32" s="300"/>
      <c r="W32" s="300"/>
    </row>
    <row r="33" spans="18:23" ht="30" hidden="1" customHeight="1" x14ac:dyDescent="0.2">
      <c r="R33" s="300"/>
      <c r="S33" s="300"/>
      <c r="T33" s="300"/>
      <c r="U33" s="300"/>
      <c r="V33" s="300"/>
      <c r="W33" s="300"/>
    </row>
  </sheetData>
  <sheetProtection sheet="1" objects="1" scenarios="1"/>
  <mergeCells count="102">
    <mergeCell ref="A29:G30"/>
    <mergeCell ref="A24:F24"/>
    <mergeCell ref="G24:L24"/>
    <mergeCell ref="M24:P24"/>
    <mergeCell ref="A25:F25"/>
    <mergeCell ref="J25:N25"/>
    <mergeCell ref="E26:L26"/>
    <mergeCell ref="M26:P26"/>
    <mergeCell ref="A27:P27"/>
    <mergeCell ref="G25:I25"/>
    <mergeCell ref="O25:P25"/>
    <mergeCell ref="A26:D26"/>
    <mergeCell ref="L28:O28"/>
    <mergeCell ref="A1:P1"/>
    <mergeCell ref="L6:P6"/>
    <mergeCell ref="L7:P7"/>
    <mergeCell ref="A8:G8"/>
    <mergeCell ref="A3:K3"/>
    <mergeCell ref="A12:D12"/>
    <mergeCell ref="O12:P12"/>
    <mergeCell ref="F12:G12"/>
    <mergeCell ref="I12:J12"/>
    <mergeCell ref="L12:M12"/>
    <mergeCell ref="B6:I6"/>
    <mergeCell ref="J6:K6"/>
    <mergeCell ref="B4:I5"/>
    <mergeCell ref="A2:I2"/>
    <mergeCell ref="A10:P10"/>
    <mergeCell ref="A4:A5"/>
    <mergeCell ref="O9:P9"/>
    <mergeCell ref="F11:G11"/>
    <mergeCell ref="I11:J11"/>
    <mergeCell ref="L11:M11"/>
    <mergeCell ref="O11:P11"/>
    <mergeCell ref="A9:K9"/>
    <mergeCell ref="L9:N9"/>
    <mergeCell ref="O2:P2"/>
    <mergeCell ref="U5:W5"/>
    <mergeCell ref="J7:K7"/>
    <mergeCell ref="O15:P15"/>
    <mergeCell ref="O18:P18"/>
    <mergeCell ref="O17:P17"/>
    <mergeCell ref="I15:J15"/>
    <mergeCell ref="L15:M15"/>
    <mergeCell ref="L5:O5"/>
    <mergeCell ref="B7:I7"/>
    <mergeCell ref="H8:P8"/>
    <mergeCell ref="F14:G14"/>
    <mergeCell ref="I14:J14"/>
    <mergeCell ref="F17:G17"/>
    <mergeCell ref="I17:J17"/>
    <mergeCell ref="L17:M17"/>
    <mergeCell ref="I13:J13"/>
    <mergeCell ref="I18:J18"/>
    <mergeCell ref="I16:J16"/>
    <mergeCell ref="L16:M16"/>
    <mergeCell ref="O16:P16"/>
    <mergeCell ref="L14:M14"/>
    <mergeCell ref="L13:M13"/>
    <mergeCell ref="O14:P14"/>
    <mergeCell ref="O13:P13"/>
    <mergeCell ref="A23:D23"/>
    <mergeCell ref="F22:G22"/>
    <mergeCell ref="F21:G21"/>
    <mergeCell ref="F15:G15"/>
    <mergeCell ref="C16:D16"/>
    <mergeCell ref="C17:D17"/>
    <mergeCell ref="C15:D15"/>
    <mergeCell ref="O20:P20"/>
    <mergeCell ref="F19:G19"/>
    <mergeCell ref="L20:M20"/>
    <mergeCell ref="B20:D20"/>
    <mergeCell ref="O21:P21"/>
    <mergeCell ref="L22:M22"/>
    <mergeCell ref="O23:P23"/>
    <mergeCell ref="L23:M23"/>
    <mergeCell ref="I23:J23"/>
    <mergeCell ref="I22:J22"/>
    <mergeCell ref="I21:J21"/>
    <mergeCell ref="B22:D22"/>
    <mergeCell ref="B18:D18"/>
    <mergeCell ref="F18:G18"/>
    <mergeCell ref="F23:G23"/>
    <mergeCell ref="B21:D21"/>
    <mergeCell ref="F20:G20"/>
    <mergeCell ref="L3:P3"/>
    <mergeCell ref="L4:P4"/>
    <mergeCell ref="L2:N2"/>
    <mergeCell ref="J2:K2"/>
    <mergeCell ref="F16:G16"/>
    <mergeCell ref="L18:M18"/>
    <mergeCell ref="C14:D14"/>
    <mergeCell ref="A11:D11"/>
    <mergeCell ref="O22:P22"/>
    <mergeCell ref="L21:M21"/>
    <mergeCell ref="B13:D13"/>
    <mergeCell ref="F13:G13"/>
    <mergeCell ref="A19:D19"/>
    <mergeCell ref="I19:J19"/>
    <mergeCell ref="L19:M19"/>
    <mergeCell ref="O19:P19"/>
    <mergeCell ref="I20:J20"/>
  </mergeCells>
  <phoneticPr fontId="6" type="noConversion"/>
  <conditionalFormatting sqref="I23:J23 F23:G23 F19:G19 I19:J19 L19:M19 L23:M23 I12:J13 F12:G13 L12:M13 O12:P12">
    <cfRule type="expression" dxfId="58" priority="1" stopIfTrue="1">
      <formula>IF(ISBLANK($M$822),FALSE,TRUE)</formula>
    </cfRule>
  </conditionalFormatting>
  <conditionalFormatting sqref="F20:G22 F14:G18 J6:K7 I14:J18 L14:M18 I20:J22 L20:M22">
    <cfRule type="expression" dxfId="57" priority="2" stopIfTrue="1">
      <formula>IF(ISBLANK($K$5),FALSE,TRUE)</formula>
    </cfRule>
  </conditionalFormatting>
  <conditionalFormatting sqref="A29:G30">
    <cfRule type="expression" dxfId="56" priority="3" stopIfTrue="1">
      <formula>IF(ISBLANK($K$5),FALSE,TRUE)</formula>
    </cfRule>
  </conditionalFormatting>
  <hyperlinks>
    <hyperlink ref="B4:I5" location="def_cap_exp" display="Did your Facility have any Major Capital Expenditure Commitments in FY 2007 that were over $1 million dollars each?" xr:uid="{00000000-0004-0000-0E00-000000000000}"/>
    <hyperlink ref="H8:P8" location="cap_exp_contact" display="cap_exp_contact" xr:uid="{00000000-0004-0000-0E00-000001000000}"/>
    <hyperlink ref="A25:F25" location="code_7595" display="code_7595" xr:uid="{00000000-0004-0000-0E00-000002000000}"/>
    <hyperlink ref="J25:N25" location="code_7596" display="code_7596" xr:uid="{00000000-0004-0000-0E00-000003000000}"/>
    <hyperlink ref="E26:L26" location="'Capital Expend Project Specific'!A1" display="'Capital Expend Project Specific'!A1" xr:uid="{00000000-0004-0000-0E00-000004000000}"/>
    <hyperlink ref="L9:N9" location="text_14" display="Document Explanations if needed" xr:uid="{00000000-0004-0000-0E00-000005000000}"/>
    <hyperlink ref="L2:N2" location="text_13" display="Document Explanations if needed" xr:uid="{00000000-0004-0000-0E00-000006000000}"/>
  </hyperlinks>
  <printOptions horizontalCentered="1"/>
  <pageMargins left="0.75" right="0.75" top="1" bottom="1" header="0.5" footer="0.5"/>
  <pageSetup scale="51" orientation="portrait" r:id="rId1"/>
  <headerFooter alignWithMargins="0">
    <oddFooter>&amp;L&amp;"Calibri,Regular"Diagnostic Imaging Facility Utilization Report
Fiscal Year 2024
&amp;C&amp;"Calibri,Regular"&amp;P of &amp;N&amp;R&amp;"Calibri,Regular"Minnesota Department of Health
Phone 651-201-3572
health.hccis@state.mn.us</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indexed="44"/>
  </sheetPr>
  <dimension ref="A1:BE977"/>
  <sheetViews>
    <sheetView zoomScaleNormal="100" workbookViewId="0">
      <selection sqref="A1:K1"/>
    </sheetView>
  </sheetViews>
  <sheetFormatPr defaultColWidth="0" defaultRowHeight="26.25" customHeight="1" zeroHeight="1" x14ac:dyDescent="0.2"/>
  <cols>
    <col min="1" max="1" width="8" style="256" bestFit="1" customWidth="1"/>
    <col min="2" max="14" width="7.85546875" style="256" customWidth="1"/>
    <col min="15" max="15" width="8.42578125" style="256" bestFit="1" customWidth="1"/>
    <col min="16" max="17" width="7.85546875" style="256" customWidth="1"/>
    <col min="18" max="18" width="11.42578125" style="256" customWidth="1"/>
    <col min="19" max="26" width="11.42578125" style="256" hidden="1" customWidth="1"/>
    <col min="27" max="27" width="11.42578125" style="200" hidden="1" customWidth="1"/>
    <col min="28" max="57" width="11.42578125" style="256" hidden="1" customWidth="1"/>
    <col min="58" max="16384" width="7.85546875" style="256" hidden="1"/>
  </cols>
  <sheetData>
    <row r="1" spans="1:56" ht="26.25" customHeight="1" thickBot="1" x14ac:dyDescent="0.25">
      <c r="A1" s="1409" t="e">
        <f>CONCATENATE('Demog Contact'!D$5," ",'Demog Contact'!D$6)</f>
        <v>#N/A</v>
      </c>
      <c r="B1" s="1410"/>
      <c r="C1" s="1410"/>
      <c r="D1" s="1410"/>
      <c r="E1" s="1410"/>
      <c r="F1" s="1410"/>
      <c r="G1" s="1410"/>
      <c r="H1" s="1411"/>
      <c r="I1" s="1412" t="s">
        <v>199</v>
      </c>
      <c r="J1" s="1413"/>
      <c r="K1" s="574">
        <f>AE14</f>
        <v>0</v>
      </c>
      <c r="L1" s="1412" t="s">
        <v>200</v>
      </c>
      <c r="M1" s="1413"/>
      <c r="N1" s="1413"/>
      <c r="O1" s="1413"/>
      <c r="P1" s="1388">
        <f>AJ14</f>
        <v>0</v>
      </c>
      <c r="Q1" s="1389"/>
      <c r="R1" s="548" t="s">
        <v>752</v>
      </c>
      <c r="S1" s="323" t="s">
        <v>581</v>
      </c>
      <c r="T1" s="324"/>
      <c r="U1" s="324"/>
      <c r="V1" s="324"/>
      <c r="W1" s="324"/>
      <c r="X1" s="324"/>
      <c r="Y1" s="324"/>
      <c r="Z1" s="322"/>
      <c r="AA1" s="322"/>
      <c r="AB1" s="122"/>
      <c r="AC1" s="122" t="s">
        <v>67</v>
      </c>
      <c r="AD1" s="122" t="s">
        <v>253</v>
      </c>
      <c r="AE1" s="122" t="s">
        <v>184</v>
      </c>
      <c r="AF1" s="122" t="s">
        <v>185</v>
      </c>
      <c r="AG1" s="122" t="s">
        <v>186</v>
      </c>
      <c r="AH1" s="122" t="s">
        <v>187</v>
      </c>
      <c r="AI1" s="122" t="s">
        <v>188</v>
      </c>
      <c r="AJ1" s="122" t="s">
        <v>189</v>
      </c>
      <c r="AK1" s="122" t="s">
        <v>190</v>
      </c>
      <c r="AL1" s="122" t="s">
        <v>191</v>
      </c>
      <c r="AM1" s="122" t="s">
        <v>192</v>
      </c>
      <c r="AN1" s="122" t="s">
        <v>193</v>
      </c>
      <c r="AO1" s="122" t="s">
        <v>194</v>
      </c>
      <c r="AP1" s="122" t="s">
        <v>195</v>
      </c>
      <c r="AQ1" s="256" t="s">
        <v>582</v>
      </c>
      <c r="AR1" s="256" t="s">
        <v>583</v>
      </c>
      <c r="AS1" s="256" t="s">
        <v>584</v>
      </c>
      <c r="AT1" s="256" t="s">
        <v>585</v>
      </c>
      <c r="AU1" s="256" t="s">
        <v>586</v>
      </c>
      <c r="AV1" s="256" t="s">
        <v>587</v>
      </c>
      <c r="AW1" s="256" t="s">
        <v>588</v>
      </c>
      <c r="AX1" s="256" t="s">
        <v>589</v>
      </c>
      <c r="AZ1" s="195"/>
      <c r="BA1" s="1250" t="s">
        <v>590</v>
      </c>
      <c r="BB1" s="1250"/>
      <c r="BC1" s="1250"/>
    </row>
    <row r="2" spans="1:56" ht="26.25" customHeight="1" x14ac:dyDescent="0.25">
      <c r="A2" s="1104" t="s">
        <v>591</v>
      </c>
      <c r="B2" s="1390"/>
      <c r="C2" s="1390"/>
      <c r="D2" s="1390"/>
      <c r="E2" s="1390"/>
      <c r="F2" s="1390"/>
      <c r="G2" s="1390"/>
      <c r="H2" s="1390"/>
      <c r="I2" s="1391" t="s">
        <v>280</v>
      </c>
      <c r="J2" s="1391"/>
      <c r="K2" s="1391"/>
      <c r="L2" s="1391"/>
      <c r="M2" s="1391"/>
      <c r="N2" s="1392" t="str">
        <f>CONCATENATE('Demog Contact'!$L$1," Report Year")</f>
        <v>2024 Report Year</v>
      </c>
      <c r="O2" s="1393"/>
      <c r="P2" s="1393"/>
      <c r="Q2" s="1394"/>
      <c r="R2" s="534" t="s">
        <v>752</v>
      </c>
      <c r="S2" s="325"/>
      <c r="T2" s="325"/>
      <c r="U2" s="325"/>
      <c r="V2" s="325"/>
      <c r="W2" s="325"/>
      <c r="X2" s="325"/>
      <c r="Y2" s="325"/>
      <c r="Z2" s="1395" t="s">
        <v>592</v>
      </c>
      <c r="AA2" s="124"/>
      <c r="AB2" s="326">
        <f t="shared" ref="AB2:AB13" si="0">start</f>
        <v>0</v>
      </c>
      <c r="AC2" s="326">
        <f>'Demog Contact'!$L$1</f>
        <v>2024</v>
      </c>
      <c r="AD2" s="326">
        <v>20</v>
      </c>
      <c r="AE2" s="327" t="str">
        <f>IF(OR(NOT(ISBLANK(E11)),NOT(ISBLANK(A14))),1,"")</f>
        <v/>
      </c>
      <c r="AF2" s="326" t="str">
        <f>S8</f>
        <v/>
      </c>
      <c r="AG2" s="326" t="str">
        <f>S9</f>
        <v/>
      </c>
      <c r="AH2" s="326" t="s">
        <v>54</v>
      </c>
      <c r="AI2" s="458" t="str">
        <f>S10</f>
        <v/>
      </c>
      <c r="AJ2" s="462" t="str">
        <f>S11</f>
        <v/>
      </c>
      <c r="AK2" s="459" t="str">
        <f>S12</f>
        <v/>
      </c>
      <c r="AL2" s="326" t="str">
        <f>S13</f>
        <v/>
      </c>
      <c r="AM2" s="326" t="str">
        <f>S14</f>
        <v/>
      </c>
      <c r="AN2" s="326" t="str">
        <f>S35</f>
        <v/>
      </c>
      <c r="AO2" s="326" t="str">
        <f>S30</f>
        <v/>
      </c>
      <c r="AP2" s="326" t="str">
        <f>S45</f>
        <v/>
      </c>
      <c r="AQ2" s="328" t="str">
        <f>S7</f>
        <v/>
      </c>
      <c r="AR2" s="328" t="str">
        <f>S26</f>
        <v/>
      </c>
      <c r="AS2" s="328" t="str">
        <f>S38</f>
        <v/>
      </c>
      <c r="AT2" s="328" t="str">
        <f>S41</f>
        <v/>
      </c>
      <c r="AU2" s="328" t="str">
        <f>S15</f>
        <v/>
      </c>
      <c r="AV2" s="328" t="str">
        <f>S16</f>
        <v/>
      </c>
      <c r="AW2" s="328" t="str">
        <f>S17</f>
        <v/>
      </c>
      <c r="AX2" s="328" t="str">
        <f>S18</f>
        <v/>
      </c>
      <c r="BA2" s="256" t="s">
        <v>593</v>
      </c>
      <c r="BB2" s="256" t="s">
        <v>594</v>
      </c>
      <c r="BC2" s="256" t="s">
        <v>595</v>
      </c>
    </row>
    <row r="3" spans="1:56" ht="26.25" customHeight="1" x14ac:dyDescent="0.25">
      <c r="A3" s="1398" t="s">
        <v>779</v>
      </c>
      <c r="B3" s="1399"/>
      <c r="C3" s="1399"/>
      <c r="D3" s="1399"/>
      <c r="E3" s="1399"/>
      <c r="F3" s="1399"/>
      <c r="G3" s="1399"/>
      <c r="H3" s="1399"/>
      <c r="I3" s="1399"/>
      <c r="J3" s="1399"/>
      <c r="K3" s="1399"/>
      <c r="L3" s="1399"/>
      <c r="M3" s="1399"/>
      <c r="N3" s="1399"/>
      <c r="O3" s="1399"/>
      <c r="P3" s="1399"/>
      <c r="Q3" s="1400"/>
      <c r="R3" s="549" t="s">
        <v>752</v>
      </c>
      <c r="S3" s="330" t="s">
        <v>596</v>
      </c>
      <c r="T3" s="331"/>
      <c r="V3" s="329"/>
      <c r="W3" s="329"/>
      <c r="X3" s="329"/>
      <c r="Y3" s="329"/>
      <c r="Z3" s="1396"/>
      <c r="AA3" s="124"/>
      <c r="AB3" s="326">
        <f t="shared" si="0"/>
        <v>0</v>
      </c>
      <c r="AC3" s="326">
        <f>'Demog Contact'!$L$1</f>
        <v>2024</v>
      </c>
      <c r="AD3" s="326">
        <v>20</v>
      </c>
      <c r="AE3" s="327" t="str">
        <f>IF(OR(NOT(ISBLANK(E54)),NOT(ISBLANK(A57))),2,"")</f>
        <v/>
      </c>
      <c r="AF3" s="326" t="str">
        <f>S51</f>
        <v/>
      </c>
      <c r="AG3" s="326" t="str">
        <f>S52</f>
        <v/>
      </c>
      <c r="AH3" s="326" t="s">
        <v>54</v>
      </c>
      <c r="AI3" s="458" t="str">
        <f>S53</f>
        <v/>
      </c>
      <c r="AJ3" s="463" t="str">
        <f>S54</f>
        <v/>
      </c>
      <c r="AK3" s="460" t="str">
        <f>S55</f>
        <v/>
      </c>
      <c r="AL3" s="332" t="str">
        <f>S56</f>
        <v/>
      </c>
      <c r="AM3" s="332" t="str">
        <f>S57</f>
        <v/>
      </c>
      <c r="AN3" s="332" t="str">
        <f>S78</f>
        <v/>
      </c>
      <c r="AO3" s="332" t="str">
        <f>S73</f>
        <v/>
      </c>
      <c r="AP3" s="332" t="str">
        <f>S88</f>
        <v/>
      </c>
      <c r="AQ3" s="332" t="str">
        <f>S50</f>
        <v/>
      </c>
      <c r="AR3" s="332" t="str">
        <f>S69</f>
        <v/>
      </c>
      <c r="AS3" s="332" t="str">
        <f>S81</f>
        <v/>
      </c>
      <c r="AT3" s="332" t="str">
        <f>S84</f>
        <v/>
      </c>
      <c r="AU3" s="332" t="str">
        <f>S58</f>
        <v/>
      </c>
      <c r="AV3" s="332" t="str">
        <f>S59</f>
        <v/>
      </c>
      <c r="AW3" s="332" t="str">
        <f>S60</f>
        <v/>
      </c>
      <c r="AX3" s="328" t="str">
        <f>S61</f>
        <v/>
      </c>
      <c r="AZ3" s="200"/>
      <c r="BA3" s="333" t="str">
        <f t="shared" ref="BA3:BA66" si="1">IF(BC3="","",$O$6)</f>
        <v/>
      </c>
      <c r="BB3" s="333" t="str">
        <f t="shared" ref="BB3:BB11" si="2">IF(BC3="","",$Q$6)</f>
        <v/>
      </c>
      <c r="BC3" s="333" t="str">
        <f>S21</f>
        <v/>
      </c>
      <c r="BD3" s="195" t="s">
        <v>597</v>
      </c>
    </row>
    <row r="4" spans="1:56" ht="26.25" customHeight="1" x14ac:dyDescent="0.25">
      <c r="A4" s="1401"/>
      <c r="B4" s="1402"/>
      <c r="C4" s="1402"/>
      <c r="D4" s="1402"/>
      <c r="E4" s="1402"/>
      <c r="F4" s="1402"/>
      <c r="G4" s="1402"/>
      <c r="H4" s="1402"/>
      <c r="I4" s="1402"/>
      <c r="J4" s="1402"/>
      <c r="K4" s="1402"/>
      <c r="L4" s="1402"/>
      <c r="M4" s="1402"/>
      <c r="N4" s="1403"/>
      <c r="O4" s="1403"/>
      <c r="P4" s="1403"/>
      <c r="Q4" s="1404"/>
      <c r="R4" s="549" t="s">
        <v>752</v>
      </c>
      <c r="S4" s="334" t="s">
        <v>598</v>
      </c>
      <c r="T4" s="335"/>
      <c r="U4" s="335"/>
      <c r="V4" s="336" t="s">
        <v>599</v>
      </c>
      <c r="W4" s="337"/>
      <c r="X4" s="338"/>
      <c r="Y4" s="329"/>
      <c r="Z4" s="1396"/>
      <c r="AA4" s="385"/>
      <c r="AB4" s="326">
        <f t="shared" si="0"/>
        <v>0</v>
      </c>
      <c r="AC4" s="326">
        <f>'Demog Contact'!$L$1</f>
        <v>2024</v>
      </c>
      <c r="AD4" s="326">
        <v>20</v>
      </c>
      <c r="AE4" s="327" t="str">
        <f>IF(OR(NOT(ISBLANK(E97)),NOT(ISBLANK(A100))),3,"")</f>
        <v/>
      </c>
      <c r="AF4" s="326" t="str">
        <f>S94</f>
        <v/>
      </c>
      <c r="AG4" s="326" t="str">
        <f>S95</f>
        <v/>
      </c>
      <c r="AH4" s="326" t="s">
        <v>54</v>
      </c>
      <c r="AI4" s="458" t="str">
        <f>S96</f>
        <v/>
      </c>
      <c r="AJ4" s="463" t="str">
        <f>S97</f>
        <v/>
      </c>
      <c r="AK4" s="460" t="str">
        <f>S98</f>
        <v/>
      </c>
      <c r="AL4" s="332" t="str">
        <f>S99</f>
        <v/>
      </c>
      <c r="AM4" s="332" t="str">
        <f>S100</f>
        <v/>
      </c>
      <c r="AN4" s="332" t="str">
        <f>S121</f>
        <v/>
      </c>
      <c r="AO4" s="332" t="str">
        <f>S116</f>
        <v/>
      </c>
      <c r="AP4" s="332" t="str">
        <f>S131</f>
        <v/>
      </c>
      <c r="AQ4" s="332" t="str">
        <f>S93</f>
        <v/>
      </c>
      <c r="AR4" s="332" t="str">
        <f>S112</f>
        <v/>
      </c>
      <c r="AS4" s="332" t="str">
        <f>S124</f>
        <v/>
      </c>
      <c r="AT4" s="332" t="str">
        <f>S127</f>
        <v/>
      </c>
      <c r="AU4" s="332" t="str">
        <f>S101</f>
        <v/>
      </c>
      <c r="AV4" s="332" t="str">
        <f>S102</f>
        <v/>
      </c>
      <c r="AW4" s="332" t="str">
        <f>S103</f>
        <v/>
      </c>
      <c r="AX4" s="328" t="str">
        <f>S104</f>
        <v/>
      </c>
      <c r="AZ4" s="200"/>
      <c r="BA4" s="333" t="str">
        <f t="shared" si="1"/>
        <v/>
      </c>
      <c r="BB4" s="333" t="str">
        <f t="shared" si="2"/>
        <v/>
      </c>
      <c r="BC4" s="333" t="str">
        <f>T21</f>
        <v/>
      </c>
      <c r="BD4" s="200"/>
    </row>
    <row r="5" spans="1:56" ht="27" customHeight="1" thickBot="1" x14ac:dyDescent="0.3">
      <c r="A5" s="1405" t="s">
        <v>82</v>
      </c>
      <c r="B5" s="1406"/>
      <c r="C5" s="1406"/>
      <c r="D5" s="1406"/>
      <c r="E5" s="1406"/>
      <c r="F5" s="1406"/>
      <c r="G5" s="1406"/>
      <c r="H5" s="1406"/>
      <c r="I5" s="1406"/>
      <c r="J5" s="1406"/>
      <c r="K5" s="1406"/>
      <c r="L5" s="1406"/>
      <c r="M5" s="1406"/>
      <c r="N5" s="1392" t="str">
        <f>CONCATENATE('Demog Contact'!$L$1," Report Year")</f>
        <v>2024 Report Year</v>
      </c>
      <c r="O5" s="1393"/>
      <c r="P5" s="1393"/>
      <c r="Q5" s="1394"/>
      <c r="R5" s="534" t="s">
        <v>752</v>
      </c>
      <c r="S5" s="340" t="s">
        <v>600</v>
      </c>
      <c r="T5" s="341"/>
      <c r="U5" s="341"/>
      <c r="V5" s="342" t="s">
        <v>601</v>
      </c>
      <c r="W5" s="339"/>
      <c r="X5" s="339"/>
      <c r="Y5" s="339"/>
      <c r="Z5" s="1396"/>
      <c r="AA5" s="124"/>
      <c r="AB5" s="326">
        <f t="shared" si="0"/>
        <v>0</v>
      </c>
      <c r="AC5" s="326">
        <f>'Demog Contact'!$L$1</f>
        <v>2024</v>
      </c>
      <c r="AD5" s="326">
        <v>20</v>
      </c>
      <c r="AE5" s="327" t="str">
        <f>IF(OR(NOT(ISBLANK(E140)),NOT(ISBLANK(A143))),4,"")</f>
        <v/>
      </c>
      <c r="AF5" s="326" t="str">
        <f>S137</f>
        <v/>
      </c>
      <c r="AG5" s="326" t="str">
        <f>S138</f>
        <v/>
      </c>
      <c r="AH5" s="326" t="s">
        <v>54</v>
      </c>
      <c r="AI5" s="458" t="str">
        <f>S139</f>
        <v/>
      </c>
      <c r="AJ5" s="463" t="str">
        <f>S140</f>
        <v/>
      </c>
      <c r="AK5" s="460" t="str">
        <f>S141</f>
        <v/>
      </c>
      <c r="AL5" s="332" t="str">
        <f>S142</f>
        <v/>
      </c>
      <c r="AM5" s="332" t="str">
        <f>S143</f>
        <v/>
      </c>
      <c r="AN5" s="332" t="str">
        <f>S164</f>
        <v/>
      </c>
      <c r="AO5" s="332" t="str">
        <f>S159</f>
        <v/>
      </c>
      <c r="AP5" s="332" t="str">
        <f>S174</f>
        <v/>
      </c>
      <c r="AQ5" s="332" t="str">
        <f>S136</f>
        <v/>
      </c>
      <c r="AR5" s="332" t="str">
        <f>S155</f>
        <v/>
      </c>
      <c r="AS5" s="332" t="str">
        <f>S167</f>
        <v/>
      </c>
      <c r="AT5" s="332" t="str">
        <f>S170</f>
        <v/>
      </c>
      <c r="AU5" s="332" t="str">
        <f>S144</f>
        <v/>
      </c>
      <c r="AV5" s="332" t="str">
        <f>S145</f>
        <v/>
      </c>
      <c r="AW5" s="332" t="str">
        <f>S146</f>
        <v/>
      </c>
      <c r="AX5" s="328" t="str">
        <f>S147</f>
        <v/>
      </c>
      <c r="AZ5" s="200"/>
      <c r="BA5" s="333" t="str">
        <f t="shared" si="1"/>
        <v/>
      </c>
      <c r="BB5" s="333" t="str">
        <f t="shared" si="2"/>
        <v/>
      </c>
      <c r="BC5" s="333" t="str">
        <f>U21</f>
        <v/>
      </c>
      <c r="BD5" s="200"/>
    </row>
    <row r="6" spans="1:56" ht="24" customHeight="1" x14ac:dyDescent="0.25">
      <c r="A6" s="1351" t="str">
        <f>IF(AND(OR(ISNA(cap_exp_contact),TRIM(cap_exp_contact)=""),NOT(ISBLANK(code_7594))),"The Capital Expenditure Contact information has NOT been provided.  Please complete this information now.","")</f>
        <v/>
      </c>
      <c r="B6" s="1352"/>
      <c r="C6" s="1352"/>
      <c r="D6" s="1352"/>
      <c r="E6" s="1352"/>
      <c r="F6" s="1352"/>
      <c r="G6" s="1352"/>
      <c r="H6" s="1352"/>
      <c r="I6" s="1352"/>
      <c r="J6" s="1352"/>
      <c r="K6" s="1352"/>
      <c r="L6" s="1352"/>
      <c r="M6" s="1352"/>
      <c r="N6" s="343" t="s">
        <v>602</v>
      </c>
      <c r="O6" s="344" t="e">
        <f>VLOOKUP('Demog Contact'!$D$5,ID_list,99,FALSE)</f>
        <v>#N/A</v>
      </c>
      <c r="P6" s="345" t="s">
        <v>603</v>
      </c>
      <c r="Q6" s="346"/>
      <c r="R6" s="534" t="s">
        <v>752</v>
      </c>
      <c r="S6" s="280"/>
      <c r="T6" s="280"/>
      <c r="U6" s="280"/>
      <c r="V6" s="280"/>
      <c r="W6" s="280"/>
      <c r="X6" s="280"/>
      <c r="Y6" s="280"/>
      <c r="Z6" s="1396"/>
      <c r="AA6" s="124"/>
      <c r="AB6" s="326">
        <f t="shared" si="0"/>
        <v>0</v>
      </c>
      <c r="AC6" s="326">
        <f>'Demog Contact'!$L$1</f>
        <v>2024</v>
      </c>
      <c r="AD6" s="326">
        <v>20</v>
      </c>
      <c r="AE6" s="327" t="str">
        <f>IF(OR(NOT(ISBLANK(E183)),NOT(ISBLANK(A186))),5,"")</f>
        <v/>
      </c>
      <c r="AF6" s="326" t="str">
        <f>S180</f>
        <v/>
      </c>
      <c r="AG6" s="326" t="str">
        <f>S181</f>
        <v/>
      </c>
      <c r="AH6" s="326" t="s">
        <v>54</v>
      </c>
      <c r="AI6" s="458" t="str">
        <f>S182</f>
        <v/>
      </c>
      <c r="AJ6" s="463" t="str">
        <f>S183</f>
        <v/>
      </c>
      <c r="AK6" s="460" t="str">
        <f>S184</f>
        <v/>
      </c>
      <c r="AL6" s="332" t="str">
        <f>S185</f>
        <v/>
      </c>
      <c r="AM6" s="332" t="str">
        <f>S186</f>
        <v/>
      </c>
      <c r="AN6" s="332" t="str">
        <f>S207</f>
        <v/>
      </c>
      <c r="AO6" s="332" t="str">
        <f>S202</f>
        <v/>
      </c>
      <c r="AP6" s="332" t="str">
        <f>S217</f>
        <v/>
      </c>
      <c r="AQ6" s="332" t="str">
        <f>S179</f>
        <v/>
      </c>
      <c r="AR6" s="332" t="str">
        <f>S198</f>
        <v/>
      </c>
      <c r="AS6" s="332" t="str">
        <f>S210</f>
        <v/>
      </c>
      <c r="AT6" s="332" t="str">
        <f>S213</f>
        <v/>
      </c>
      <c r="AU6" s="332" t="str">
        <f>S187</f>
        <v/>
      </c>
      <c r="AV6" s="332" t="str">
        <f>S188</f>
        <v/>
      </c>
      <c r="AW6" s="332" t="str">
        <f>S189</f>
        <v/>
      </c>
      <c r="AX6" s="328" t="str">
        <f>S190</f>
        <v/>
      </c>
      <c r="AZ6" s="200"/>
      <c r="BA6" s="333" t="str">
        <f t="shared" si="1"/>
        <v/>
      </c>
      <c r="BB6" s="333" t="str">
        <f t="shared" si="2"/>
        <v/>
      </c>
      <c r="BC6" s="347" t="str">
        <f>V21</f>
        <v/>
      </c>
      <c r="BD6" s="200"/>
    </row>
    <row r="7" spans="1:56" ht="25.9" customHeight="1" thickBot="1" x14ac:dyDescent="0.3">
      <c r="A7" s="1353" t="s">
        <v>197</v>
      </c>
      <c r="B7" s="1354"/>
      <c r="C7" s="1354"/>
      <c r="D7" s="1354"/>
      <c r="E7" s="1355"/>
      <c r="F7" s="1356"/>
      <c r="G7" s="1356"/>
      <c r="H7" s="1356"/>
      <c r="I7" s="1356"/>
      <c r="J7" s="1356"/>
      <c r="K7" s="1356"/>
      <c r="L7" s="1357"/>
      <c r="M7" s="550" t="s">
        <v>752</v>
      </c>
      <c r="N7" s="1358" t="s">
        <v>604</v>
      </c>
      <c r="O7" s="1359"/>
      <c r="P7" s="1359"/>
      <c r="Q7" s="1360"/>
      <c r="R7" s="534" t="s">
        <v>752</v>
      </c>
      <c r="S7" s="348" t="str">
        <f>IF(ISBLANK(E7),"",E7)</f>
        <v/>
      </c>
      <c r="T7" s="143" t="s">
        <v>495</v>
      </c>
      <c r="U7" s="280"/>
      <c r="V7" s="280"/>
      <c r="W7" s="280"/>
      <c r="X7" s="280"/>
      <c r="Y7" s="280"/>
      <c r="Z7" s="1396"/>
      <c r="AA7" s="124"/>
      <c r="AB7" s="326">
        <f t="shared" si="0"/>
        <v>0</v>
      </c>
      <c r="AC7" s="326">
        <f>'Demog Contact'!$L$1</f>
        <v>2024</v>
      </c>
      <c r="AD7" s="326">
        <v>20</v>
      </c>
      <c r="AE7" s="327" t="str">
        <f>IF(OR(NOT(ISBLANK(E226)),NOT(ISBLANK(A229))),6,"")</f>
        <v/>
      </c>
      <c r="AF7" s="326" t="str">
        <f>S223</f>
        <v/>
      </c>
      <c r="AG7" s="326" t="str">
        <f>S224</f>
        <v/>
      </c>
      <c r="AH7" s="326" t="s">
        <v>54</v>
      </c>
      <c r="AI7" s="458" t="str">
        <f>S225</f>
        <v/>
      </c>
      <c r="AJ7" s="463" t="str">
        <f>S226</f>
        <v/>
      </c>
      <c r="AK7" s="460" t="str">
        <f>S227</f>
        <v/>
      </c>
      <c r="AL7" s="332" t="str">
        <f>S228</f>
        <v/>
      </c>
      <c r="AM7" s="332" t="str">
        <f>S229</f>
        <v/>
      </c>
      <c r="AN7" s="332" t="str">
        <f>S250</f>
        <v/>
      </c>
      <c r="AO7" s="332" t="str">
        <f>S245</f>
        <v/>
      </c>
      <c r="AP7" s="332" t="str">
        <f>S260</f>
        <v/>
      </c>
      <c r="AQ7" s="332" t="str">
        <f>S222</f>
        <v/>
      </c>
      <c r="AR7" s="332" t="str">
        <f>S241</f>
        <v/>
      </c>
      <c r="AS7" s="332" t="str">
        <f>S253</f>
        <v/>
      </c>
      <c r="AT7" s="332" t="str">
        <f>S256</f>
        <v/>
      </c>
      <c r="AU7" s="332" t="str">
        <f>S230</f>
        <v/>
      </c>
      <c r="AV7" s="332" t="str">
        <f>S231</f>
        <v/>
      </c>
      <c r="AW7" s="332" t="str">
        <f>S232</f>
        <v/>
      </c>
      <c r="AX7" s="328" t="str">
        <f>S233</f>
        <v/>
      </c>
      <c r="AZ7" s="200"/>
      <c r="BA7" s="333" t="str">
        <f t="shared" si="1"/>
        <v/>
      </c>
      <c r="BB7" s="333" t="str">
        <f t="shared" si="2"/>
        <v/>
      </c>
      <c r="BC7" s="347" t="str">
        <f>S23</f>
        <v/>
      </c>
    </row>
    <row r="8" spans="1:56" ht="25.9" customHeight="1" x14ac:dyDescent="0.25">
      <c r="A8" s="1361" t="s">
        <v>605</v>
      </c>
      <c r="B8" s="1362"/>
      <c r="C8" s="1362"/>
      <c r="D8" s="1363"/>
      <c r="E8" s="1355"/>
      <c r="F8" s="1356"/>
      <c r="G8" s="1356"/>
      <c r="H8" s="1356"/>
      <c r="I8" s="1356"/>
      <c r="J8" s="1356"/>
      <c r="K8" s="1356"/>
      <c r="L8" s="1357"/>
      <c r="M8" s="1342" t="str">
        <f>IF(AND(ISBLANK(E8),OR(NOT(ISBLANK(E9)),NOT(ISBLANK(E10)),NOT(ISBLANK(E11)),NOT(ISBLANK(I12)),NOT(ISBLANK(A14)))),"This information is required.","")</f>
        <v/>
      </c>
      <c r="N8" s="1343"/>
      <c r="O8" s="1343"/>
      <c r="P8" s="1343"/>
      <c r="Q8" s="551" t="s">
        <v>752</v>
      </c>
      <c r="R8" s="534" t="s">
        <v>752</v>
      </c>
      <c r="S8" s="348" t="str">
        <f>IF(ISBLANK(E8),"",E8)</f>
        <v/>
      </c>
      <c r="T8" s="143" t="s">
        <v>185</v>
      </c>
      <c r="U8" s="280"/>
      <c r="V8" s="280"/>
      <c r="W8" s="280"/>
      <c r="X8" s="280"/>
      <c r="Y8" s="280"/>
      <c r="Z8" s="1396"/>
      <c r="AA8" s="385"/>
      <c r="AB8" s="326">
        <f t="shared" si="0"/>
        <v>0</v>
      </c>
      <c r="AC8" s="326">
        <f>'Demog Contact'!$L$1</f>
        <v>2024</v>
      </c>
      <c r="AD8" s="326">
        <v>20</v>
      </c>
      <c r="AE8" s="327" t="str">
        <f>IF(OR(NOT(ISBLANK(E269)),NOT(ISBLANK(A272))),7,"")</f>
        <v/>
      </c>
      <c r="AF8" s="326" t="str">
        <f>S266</f>
        <v/>
      </c>
      <c r="AG8" s="326" t="str">
        <f>S267</f>
        <v/>
      </c>
      <c r="AH8" s="326" t="s">
        <v>54</v>
      </c>
      <c r="AI8" s="458" t="str">
        <f>S268</f>
        <v/>
      </c>
      <c r="AJ8" s="463" t="str">
        <f>S269</f>
        <v/>
      </c>
      <c r="AK8" s="460" t="str">
        <f>S270</f>
        <v/>
      </c>
      <c r="AL8" s="332" t="str">
        <f>S271</f>
        <v/>
      </c>
      <c r="AM8" s="332" t="str">
        <f>S272</f>
        <v/>
      </c>
      <c r="AN8" s="332" t="str">
        <f>S293</f>
        <v/>
      </c>
      <c r="AO8" s="332" t="str">
        <f>S288</f>
        <v/>
      </c>
      <c r="AP8" s="332" t="str">
        <f>S303</f>
        <v/>
      </c>
      <c r="AQ8" s="332" t="str">
        <f>S265</f>
        <v/>
      </c>
      <c r="AR8" s="332" t="str">
        <f>S284</f>
        <v/>
      </c>
      <c r="AS8" s="332" t="str">
        <f>S296</f>
        <v/>
      </c>
      <c r="AT8" s="332" t="str">
        <f>S299</f>
        <v/>
      </c>
      <c r="AU8" s="332" t="str">
        <f>S273</f>
        <v/>
      </c>
      <c r="AV8" s="332" t="str">
        <f>S274</f>
        <v/>
      </c>
      <c r="AW8" s="332" t="str">
        <f>S275</f>
        <v/>
      </c>
      <c r="AX8" s="328" t="str">
        <f>S276</f>
        <v/>
      </c>
      <c r="AZ8" s="200"/>
      <c r="BA8" s="333" t="str">
        <f t="shared" si="1"/>
        <v/>
      </c>
      <c r="BB8" s="333" t="str">
        <f t="shared" si="2"/>
        <v/>
      </c>
      <c r="BC8" s="347" t="str">
        <f>S24</f>
        <v/>
      </c>
      <c r="BD8" s="200"/>
    </row>
    <row r="9" spans="1:56" ht="25.9" customHeight="1" x14ac:dyDescent="0.25">
      <c r="A9" s="1325" t="s">
        <v>606</v>
      </c>
      <c r="B9" s="1326"/>
      <c r="C9" s="1326"/>
      <c r="D9" s="1327"/>
      <c r="E9" s="1355"/>
      <c r="F9" s="1356"/>
      <c r="G9" s="1356"/>
      <c r="H9" s="1356"/>
      <c r="I9" s="1356"/>
      <c r="J9" s="1356"/>
      <c r="K9" s="1356"/>
      <c r="L9" s="1357"/>
      <c r="M9" s="1342" t="str">
        <f>IF(AND(ISBLANK(E9),OR(NOT(ISBLANK(E8)),NOT(ISBLANK(E10)),NOT(ISBLANK(E11)),NOT(ISBLANK(I12)),NOT(ISBLANK(A14)))),"This information is required.","")</f>
        <v/>
      </c>
      <c r="N9" s="1343"/>
      <c r="O9" s="1343"/>
      <c r="P9" s="1343"/>
      <c r="Q9" s="551" t="s">
        <v>752</v>
      </c>
      <c r="R9" s="534" t="s">
        <v>752</v>
      </c>
      <c r="S9" s="348" t="str">
        <f>IF(ISBLANK(E9),"",E9)</f>
        <v/>
      </c>
      <c r="T9" s="143" t="s">
        <v>186</v>
      </c>
      <c r="U9" s="280"/>
      <c r="V9" s="280"/>
      <c r="W9" s="280"/>
      <c r="X9" s="280"/>
      <c r="Y9" s="280"/>
      <c r="Z9" s="1396"/>
      <c r="AA9" s="124"/>
      <c r="AB9" s="326">
        <f t="shared" si="0"/>
        <v>0</v>
      </c>
      <c r="AC9" s="326">
        <f>'Demog Contact'!$L$1</f>
        <v>2024</v>
      </c>
      <c r="AD9" s="326">
        <v>20</v>
      </c>
      <c r="AE9" s="327" t="str">
        <f>IF(OR(NOT(ISBLANK(E312)),NOT(ISBLANK(A315))),8,"")</f>
        <v/>
      </c>
      <c r="AF9" s="326" t="str">
        <f>S309</f>
        <v/>
      </c>
      <c r="AG9" s="326" t="str">
        <f>S310</f>
        <v/>
      </c>
      <c r="AH9" s="326" t="s">
        <v>54</v>
      </c>
      <c r="AI9" s="458" t="str">
        <f>S311</f>
        <v/>
      </c>
      <c r="AJ9" s="463" t="str">
        <f>S312</f>
        <v/>
      </c>
      <c r="AK9" s="460" t="str">
        <f>S313</f>
        <v/>
      </c>
      <c r="AL9" s="332" t="str">
        <f>S314</f>
        <v/>
      </c>
      <c r="AM9" s="332" t="str">
        <f>S315</f>
        <v/>
      </c>
      <c r="AN9" s="332" t="str">
        <f>S336</f>
        <v/>
      </c>
      <c r="AO9" s="332" t="str">
        <f>S331</f>
        <v/>
      </c>
      <c r="AP9" s="332" t="str">
        <f>S346</f>
        <v/>
      </c>
      <c r="AQ9" s="332" t="str">
        <f>S308</f>
        <v/>
      </c>
      <c r="AR9" s="332" t="str">
        <f>S327</f>
        <v/>
      </c>
      <c r="AS9" s="332" t="str">
        <f>S339</f>
        <v/>
      </c>
      <c r="AT9" s="332" t="str">
        <f>S342</f>
        <v/>
      </c>
      <c r="AU9" s="332" t="str">
        <f>S316</f>
        <v/>
      </c>
      <c r="AV9" s="332" t="str">
        <f>S317</f>
        <v/>
      </c>
      <c r="AW9" s="332" t="str">
        <f>S318</f>
        <v/>
      </c>
      <c r="AX9" s="328" t="str">
        <f>S319</f>
        <v/>
      </c>
      <c r="AZ9" s="200"/>
      <c r="BA9" s="333" t="str">
        <f t="shared" si="1"/>
        <v/>
      </c>
      <c r="BB9" s="333" t="str">
        <f t="shared" si="2"/>
        <v/>
      </c>
      <c r="BC9" s="347" t="str">
        <f>S25</f>
        <v/>
      </c>
      <c r="BD9" s="200"/>
    </row>
    <row r="10" spans="1:56" ht="25.9" customHeight="1" x14ac:dyDescent="0.25">
      <c r="A10" s="1344" t="s">
        <v>607</v>
      </c>
      <c r="B10" s="1345"/>
      <c r="C10" s="1345"/>
      <c r="D10" s="1346"/>
      <c r="E10" s="1407"/>
      <c r="F10" s="1408"/>
      <c r="G10" s="1349" t="s">
        <v>608</v>
      </c>
      <c r="H10" s="1349"/>
      <c r="I10" s="1349"/>
      <c r="J10" s="1349"/>
      <c r="K10" s="1349"/>
      <c r="L10" s="1349"/>
      <c r="M10" s="1350" t="str">
        <f>IF(AND(ISBLANK(E10),OR(NOT(ISBLANK(E8)),NOT(ISBLANK(E9)),NOT(ISBLANK(E11)),NOT(ISBLANK(I12)),NOT(ISBLANK(A14)))),"This information is required.","")</f>
        <v/>
      </c>
      <c r="N10" s="1202"/>
      <c r="O10" s="1202"/>
      <c r="P10" s="1202"/>
      <c r="Q10" s="532" t="s">
        <v>752</v>
      </c>
      <c r="R10" s="534" t="s">
        <v>752</v>
      </c>
      <c r="S10" s="350" t="str">
        <f>IF(ISBLANK(E10),"",E10)</f>
        <v/>
      </c>
      <c r="T10" s="351" t="s">
        <v>188</v>
      </c>
      <c r="U10" s="349"/>
      <c r="V10" s="349"/>
      <c r="W10" s="349"/>
      <c r="X10" s="349"/>
      <c r="Y10" s="349"/>
      <c r="Z10" s="1397"/>
      <c r="AA10" s="124"/>
      <c r="AB10" s="326">
        <f t="shared" si="0"/>
        <v>0</v>
      </c>
      <c r="AC10" s="326">
        <f>'Demog Contact'!$L$1</f>
        <v>2024</v>
      </c>
      <c r="AD10" s="326">
        <v>20</v>
      </c>
      <c r="AE10" s="327" t="str">
        <f>IF(OR(NOT(ISBLANK(E355)),NOT(ISBLANK(A358))),9,"")</f>
        <v/>
      </c>
      <c r="AF10" s="326" t="str">
        <f>S352</f>
        <v/>
      </c>
      <c r="AG10" s="326" t="str">
        <f>S353</f>
        <v/>
      </c>
      <c r="AH10" s="326" t="s">
        <v>54</v>
      </c>
      <c r="AI10" s="458" t="str">
        <f>S354</f>
        <v/>
      </c>
      <c r="AJ10" s="463" t="str">
        <f>S355</f>
        <v/>
      </c>
      <c r="AK10" s="460" t="str">
        <f>S356</f>
        <v/>
      </c>
      <c r="AL10" s="332" t="str">
        <f>S357</f>
        <v/>
      </c>
      <c r="AM10" s="332" t="str">
        <f>S358</f>
        <v/>
      </c>
      <c r="AN10" s="332" t="str">
        <f>S379</f>
        <v/>
      </c>
      <c r="AO10" s="332" t="str">
        <f>S374</f>
        <v/>
      </c>
      <c r="AP10" s="332" t="str">
        <f>S389</f>
        <v/>
      </c>
      <c r="AQ10" s="332" t="str">
        <f>S351</f>
        <v/>
      </c>
      <c r="AR10" s="332" t="str">
        <f>S370</f>
        <v/>
      </c>
      <c r="AS10" s="332" t="str">
        <f>S382</f>
        <v/>
      </c>
      <c r="AT10" s="332" t="str">
        <f>S385</f>
        <v/>
      </c>
      <c r="AU10" s="332" t="str">
        <f>S359</f>
        <v/>
      </c>
      <c r="AV10" s="332" t="str">
        <f>S360</f>
        <v/>
      </c>
      <c r="AW10" s="332" t="str">
        <f>S361</f>
        <v/>
      </c>
      <c r="AX10" s="328" t="str">
        <f>S362</f>
        <v/>
      </c>
      <c r="AZ10" s="200"/>
      <c r="BA10" s="333" t="str">
        <f t="shared" si="1"/>
        <v/>
      </c>
      <c r="BB10" s="333" t="str">
        <f t="shared" si="2"/>
        <v/>
      </c>
      <c r="BC10" s="347" t="str">
        <f>S33</f>
        <v/>
      </c>
      <c r="BD10" s="200"/>
    </row>
    <row r="11" spans="1:56" ht="25.9" customHeight="1" x14ac:dyDescent="0.25">
      <c r="A11" s="1325" t="s">
        <v>609</v>
      </c>
      <c r="B11" s="1326"/>
      <c r="C11" s="1326"/>
      <c r="D11" s="1327"/>
      <c r="E11" s="1328"/>
      <c r="F11" s="1329"/>
      <c r="G11" s="1337" t="s">
        <v>752</v>
      </c>
      <c r="H11" s="1338"/>
      <c r="I11" s="1338"/>
      <c r="J11" s="1338"/>
      <c r="K11" s="1338"/>
      <c r="L11" s="1338"/>
      <c r="M11" s="1202" t="str">
        <f>IF(AND(ISBLANK(E11),OR(NOT(ISBLANK(E8)),NOT(ISBLANK(E9)),NOT(ISBLANK(E10)),NOT(ISBLANK(I12)),NOT(ISBLANK(A14)))),"This information is required.","")</f>
        <v/>
      </c>
      <c r="N11" s="1202"/>
      <c r="O11" s="1202"/>
      <c r="P11" s="1202"/>
      <c r="Q11" s="552" t="s">
        <v>752</v>
      </c>
      <c r="R11" s="534" t="s">
        <v>752</v>
      </c>
      <c r="S11" s="353" t="str">
        <f>IF(ISBLANK(E11),"",E11)</f>
        <v/>
      </c>
      <c r="T11" s="354" t="s">
        <v>189</v>
      </c>
      <c r="U11" s="318"/>
      <c r="V11" s="318"/>
      <c r="W11" s="318"/>
      <c r="X11" s="318"/>
      <c r="Y11" s="318"/>
      <c r="Z11" s="318"/>
      <c r="AA11" s="124"/>
      <c r="AB11" s="326">
        <f t="shared" si="0"/>
        <v>0</v>
      </c>
      <c r="AC11" s="326">
        <f>'Demog Contact'!$L$1</f>
        <v>2024</v>
      </c>
      <c r="AD11" s="326">
        <v>20</v>
      </c>
      <c r="AE11" s="327" t="str">
        <f>IF(OR(NOT(ISBLANK(E398)),NOT(ISBLANK(A401))),10,"")</f>
        <v/>
      </c>
      <c r="AF11" s="326" t="str">
        <f>S395</f>
        <v/>
      </c>
      <c r="AG11" s="326" t="str">
        <f>S396</f>
        <v/>
      </c>
      <c r="AH11" s="326" t="s">
        <v>54</v>
      </c>
      <c r="AI11" s="458" t="str">
        <f>S397</f>
        <v/>
      </c>
      <c r="AJ11" s="463" t="str">
        <f>S398</f>
        <v/>
      </c>
      <c r="AK11" s="460" t="str">
        <f>S399</f>
        <v/>
      </c>
      <c r="AL11" s="332" t="str">
        <f>S400</f>
        <v/>
      </c>
      <c r="AM11" s="332" t="str">
        <f>S401</f>
        <v/>
      </c>
      <c r="AN11" s="332" t="str">
        <f>S422</f>
        <v/>
      </c>
      <c r="AO11" s="332" t="str">
        <f>S417</f>
        <v/>
      </c>
      <c r="AP11" s="332" t="str">
        <f>S432</f>
        <v/>
      </c>
      <c r="AQ11" s="332" t="str">
        <f>S394</f>
        <v/>
      </c>
      <c r="AR11" s="332" t="str">
        <f>S413</f>
        <v/>
      </c>
      <c r="AS11" s="332" t="str">
        <f>S425</f>
        <v/>
      </c>
      <c r="AT11" s="332" t="str">
        <f>S428</f>
        <v/>
      </c>
      <c r="AU11" s="332" t="str">
        <f>S402</f>
        <v/>
      </c>
      <c r="AV11" s="332" t="str">
        <f>S403</f>
        <v/>
      </c>
      <c r="AW11" s="332" t="str">
        <f>S404</f>
        <v/>
      </c>
      <c r="AX11" s="328" t="str">
        <f>S405</f>
        <v/>
      </c>
      <c r="AZ11" s="200"/>
      <c r="BA11" s="333" t="str">
        <f t="shared" si="1"/>
        <v/>
      </c>
      <c r="BB11" s="333" t="str">
        <f t="shared" si="2"/>
        <v/>
      </c>
      <c r="BC11" s="347" t="str">
        <f>S34</f>
        <v/>
      </c>
    </row>
    <row r="12" spans="1:56" ht="25.9" customHeight="1" thickBot="1" x14ac:dyDescent="0.3">
      <c r="A12" s="1330" t="s">
        <v>610</v>
      </c>
      <c r="B12" s="1331"/>
      <c r="C12" s="1331"/>
      <c r="D12" s="1331"/>
      <c r="E12" s="1332"/>
      <c r="F12" s="1332"/>
      <c r="G12" s="1332"/>
      <c r="H12" s="1332"/>
      <c r="I12" s="1386"/>
      <c r="J12" s="1387"/>
      <c r="K12" s="1334" t="s">
        <v>611</v>
      </c>
      <c r="L12" s="1335"/>
      <c r="M12" s="1336" t="str">
        <f>IF(AND(ISBLANK(I12),OR(NOT(ISBLANK(E8)),NOT(ISBLANK(E9)),NOT(ISBLANK(E10)),NOT(ISBLANK(E11)),NOT(ISBLANK(A14)))),"This information is required!","")</f>
        <v/>
      </c>
      <c r="N12" s="1336"/>
      <c r="O12" s="1336"/>
      <c r="P12" s="1336"/>
      <c r="Q12" s="553" t="s">
        <v>752</v>
      </c>
      <c r="R12" s="534" t="s">
        <v>752</v>
      </c>
      <c r="S12" s="353" t="str">
        <f>IF(ISBLANK(I12),"",I12)</f>
        <v/>
      </c>
      <c r="T12" s="354" t="s">
        <v>190</v>
      </c>
      <c r="U12" s="355"/>
      <c r="V12" s="355"/>
      <c r="W12" s="355"/>
      <c r="X12" s="318"/>
      <c r="Y12" s="318"/>
      <c r="Z12" s="318"/>
      <c r="AA12" s="124"/>
      <c r="AB12" s="326">
        <f t="shared" si="0"/>
        <v>0</v>
      </c>
      <c r="AC12" s="326">
        <f>'Demog Contact'!$L$1</f>
        <v>2024</v>
      </c>
      <c r="AD12" s="326">
        <v>20</v>
      </c>
      <c r="AE12" s="327" t="str">
        <f>IF(OR(NOT(ISBLANK(E441)),NOT(ISBLANK(A444))),11,"")</f>
        <v/>
      </c>
      <c r="AF12" s="326" t="str">
        <f>S438</f>
        <v/>
      </c>
      <c r="AG12" s="326" t="str">
        <f>S439</f>
        <v/>
      </c>
      <c r="AH12" s="326" t="s">
        <v>54</v>
      </c>
      <c r="AI12" s="458" t="str">
        <f>S440</f>
        <v/>
      </c>
      <c r="AJ12" s="463" t="str">
        <f>S441</f>
        <v/>
      </c>
      <c r="AK12" s="460" t="str">
        <f>S442</f>
        <v/>
      </c>
      <c r="AL12" s="332" t="str">
        <f>S443</f>
        <v/>
      </c>
      <c r="AM12" s="332" t="str">
        <f>S444</f>
        <v/>
      </c>
      <c r="AN12" s="332" t="str">
        <f>S465</f>
        <v/>
      </c>
      <c r="AO12" s="332" t="str">
        <f>S460</f>
        <v/>
      </c>
      <c r="AP12" s="332" t="str">
        <f>S475</f>
        <v/>
      </c>
      <c r="AQ12" s="332" t="str">
        <f>S437</f>
        <v/>
      </c>
      <c r="AR12" s="332" t="str">
        <f>S456</f>
        <v/>
      </c>
      <c r="AS12" s="332" t="str">
        <f>S468</f>
        <v/>
      </c>
      <c r="AT12" s="332" t="str">
        <f>S471</f>
        <v/>
      </c>
      <c r="AU12" s="332" t="str">
        <f>S445</f>
        <v/>
      </c>
      <c r="AV12" s="332" t="str">
        <f>S446</f>
        <v/>
      </c>
      <c r="AW12" s="332" t="str">
        <f>S447</f>
        <v/>
      </c>
      <c r="AX12" s="328" t="str">
        <f>S448</f>
        <v/>
      </c>
      <c r="AZ12" s="200"/>
      <c r="BA12" s="356" t="str">
        <f t="shared" si="1"/>
        <v/>
      </c>
      <c r="BB12" s="356" t="str">
        <f t="shared" ref="BB12:BB20" si="3">IF(BC12="","",$Q$49)</f>
        <v/>
      </c>
      <c r="BC12" s="356" t="str">
        <f>S64</f>
        <v/>
      </c>
      <c r="BD12" s="195" t="s">
        <v>612</v>
      </c>
    </row>
    <row r="13" spans="1:56" s="200" customFormat="1" ht="25.9" customHeight="1" x14ac:dyDescent="0.25">
      <c r="A13" s="1251" t="s">
        <v>613</v>
      </c>
      <c r="B13" s="1252"/>
      <c r="C13" s="1252"/>
      <c r="D13" s="1252"/>
      <c r="E13" s="1252"/>
      <c r="F13" s="1252"/>
      <c r="G13" s="1252"/>
      <c r="H13" s="1252"/>
      <c r="I13" s="1252"/>
      <c r="J13" s="1317"/>
      <c r="K13" s="1318" t="s">
        <v>679</v>
      </c>
      <c r="L13" s="1318"/>
      <c r="M13" s="1318"/>
      <c r="N13" s="1318"/>
      <c r="O13" s="1320" t="s">
        <v>614</v>
      </c>
      <c r="P13" s="1320"/>
      <c r="Q13" s="1321"/>
      <c r="R13" s="534" t="s">
        <v>752</v>
      </c>
      <c r="S13" s="353" t="str">
        <f>IF(ISBLANK(A14),"",A14)</f>
        <v/>
      </c>
      <c r="T13" s="354" t="s">
        <v>191</v>
      </c>
      <c r="U13" s="357"/>
      <c r="V13" s="357"/>
      <c r="W13" s="357"/>
      <c r="X13" s="349"/>
      <c r="Y13" s="349"/>
      <c r="Z13" s="349"/>
      <c r="AA13" s="124"/>
      <c r="AB13" s="326">
        <f t="shared" si="0"/>
        <v>0</v>
      </c>
      <c r="AC13" s="326">
        <f>'Demog Contact'!$L$1</f>
        <v>2024</v>
      </c>
      <c r="AD13" s="326">
        <v>20</v>
      </c>
      <c r="AE13" s="327" t="str">
        <f>IF(OR(NOT(ISBLANK(E484)),NOT(ISBLANK(A487))),12,"")</f>
        <v/>
      </c>
      <c r="AF13" s="326" t="str">
        <f>S481</f>
        <v/>
      </c>
      <c r="AG13" s="326" t="str">
        <f>S482</f>
        <v/>
      </c>
      <c r="AH13" s="326" t="s">
        <v>54</v>
      </c>
      <c r="AI13" s="458" t="str">
        <f>S483</f>
        <v/>
      </c>
      <c r="AJ13" s="463" t="str">
        <f>S484</f>
        <v/>
      </c>
      <c r="AK13" s="460" t="str">
        <f>S485</f>
        <v/>
      </c>
      <c r="AL13" s="332" t="str">
        <f>S486</f>
        <v/>
      </c>
      <c r="AM13" s="332" t="str">
        <f>S487</f>
        <v/>
      </c>
      <c r="AN13" s="332" t="str">
        <f>S508</f>
        <v/>
      </c>
      <c r="AO13" s="332" t="str">
        <f>S503</f>
        <v/>
      </c>
      <c r="AP13" s="332" t="str">
        <f>S518</f>
        <v/>
      </c>
      <c r="AQ13" s="332" t="str">
        <f>S480</f>
        <v/>
      </c>
      <c r="AR13" s="332" t="str">
        <f>S499</f>
        <v/>
      </c>
      <c r="AS13" s="332" t="str">
        <f>S511</f>
        <v/>
      </c>
      <c r="AT13" s="332" t="str">
        <f>S514</f>
        <v/>
      </c>
      <c r="AU13" s="332" t="str">
        <f>S488</f>
        <v/>
      </c>
      <c r="AV13" s="332" t="str">
        <f>S489</f>
        <v/>
      </c>
      <c r="AW13" s="332" t="str">
        <f>S490</f>
        <v/>
      </c>
      <c r="AX13" s="328" t="str">
        <f>S491</f>
        <v/>
      </c>
      <c r="BA13" s="356" t="str">
        <f t="shared" si="1"/>
        <v/>
      </c>
      <c r="BB13" s="356" t="str">
        <f t="shared" si="3"/>
        <v/>
      </c>
      <c r="BC13" s="356" t="str">
        <f>T64</f>
        <v/>
      </c>
      <c r="BD13" s="256"/>
    </row>
    <row r="14" spans="1:56" s="200" customFormat="1" ht="25.9" customHeight="1" x14ac:dyDescent="0.2">
      <c r="A14" s="1263"/>
      <c r="B14" s="1264"/>
      <c r="C14" s="1264"/>
      <c r="D14" s="1264"/>
      <c r="E14" s="1264"/>
      <c r="F14" s="1264"/>
      <c r="G14" s="1264"/>
      <c r="H14" s="1264"/>
      <c r="I14" s="1264"/>
      <c r="J14" s="1305"/>
      <c r="K14" s="1319"/>
      <c r="L14" s="1319"/>
      <c r="M14" s="1319"/>
      <c r="N14" s="1319"/>
      <c r="O14" s="555" t="s">
        <v>752</v>
      </c>
      <c r="P14" s="214" t="s">
        <v>265</v>
      </c>
      <c r="Q14" s="358" t="s">
        <v>266</v>
      </c>
      <c r="R14" s="534" t="s">
        <v>765</v>
      </c>
      <c r="S14" s="353" t="str">
        <f>IF(ISBLANK(A17),"",A17)</f>
        <v/>
      </c>
      <c r="T14" s="359" t="s">
        <v>192</v>
      </c>
      <c r="U14" s="357"/>
      <c r="V14" s="357"/>
      <c r="W14" s="357"/>
      <c r="X14" s="349"/>
      <c r="Y14" s="349"/>
      <c r="Z14" s="349"/>
      <c r="AA14" s="360" t="str">
        <f>('Capital Expenditures'!$R$5)</f>
        <v/>
      </c>
      <c r="AB14" s="361"/>
      <c r="AC14" s="278"/>
      <c r="AD14" s="362">
        <f>code_7595</f>
        <v>0</v>
      </c>
      <c r="AE14" s="363">
        <f>SUM(AE15:AE26)</f>
        <v>0</v>
      </c>
      <c r="AF14" s="278"/>
      <c r="AG14" s="278"/>
      <c r="AH14" s="364">
        <f>SUM(AH15:AH26)</f>
        <v>0</v>
      </c>
      <c r="AI14" s="362">
        <f>code_7596</f>
        <v>0</v>
      </c>
      <c r="AJ14" s="363">
        <f>SUM(AJ2:AJ13)</f>
        <v>0</v>
      </c>
      <c r="AK14" s="278"/>
      <c r="AL14" s="278"/>
      <c r="AM14" s="278"/>
      <c r="AN14" s="278"/>
      <c r="AO14" s="278"/>
      <c r="AP14" s="278"/>
      <c r="AQ14" s="256"/>
      <c r="AR14" s="256"/>
      <c r="AS14" s="256"/>
      <c r="AT14" s="256"/>
      <c r="AU14" s="256"/>
      <c r="AV14" s="256"/>
      <c r="AW14" s="256"/>
      <c r="AX14" s="256"/>
      <c r="BA14" s="356" t="str">
        <f t="shared" si="1"/>
        <v/>
      </c>
      <c r="BB14" s="356" t="str">
        <f t="shared" si="3"/>
        <v/>
      </c>
      <c r="BC14" s="356" t="str">
        <f>U64</f>
        <v/>
      </c>
      <c r="BD14" s="256"/>
    </row>
    <row r="15" spans="1:56" ht="25.9" customHeight="1" x14ac:dyDescent="0.2">
      <c r="A15" s="1279"/>
      <c r="B15" s="1280"/>
      <c r="C15" s="1280"/>
      <c r="D15" s="1280"/>
      <c r="E15" s="1280"/>
      <c r="F15" s="1280"/>
      <c r="G15" s="1280"/>
      <c r="H15" s="1280"/>
      <c r="I15" s="1280"/>
      <c r="J15" s="1306"/>
      <c r="K15" s="1307" t="s">
        <v>615</v>
      </c>
      <c r="L15" s="1308"/>
      <c r="M15" s="1308"/>
      <c r="N15" s="1308"/>
      <c r="O15" s="1309"/>
      <c r="P15" s="365"/>
      <c r="Q15" s="400"/>
      <c r="R15" s="355" t="str">
        <f>IF(COUNTBLANK(P15:Q15)=2,"Please enter response.",IF(COUNTBLANK(P15:Q15)&lt;&gt;1,"Please VERIFY response.",""))</f>
        <v>Please enter response.</v>
      </c>
      <c r="S15" s="366" t="str">
        <f>IF(AND(ISBLANK(P15),ISBLANK(Q15)),"",IF(ISBLANK(P15),0,1))</f>
        <v/>
      </c>
      <c r="T15" s="233" t="s">
        <v>586</v>
      </c>
      <c r="U15" s="200"/>
      <c r="V15" s="200"/>
      <c r="W15" s="200"/>
      <c r="X15" s="183"/>
      <c r="Y15" s="183"/>
      <c r="Z15" s="183"/>
      <c r="AA15" s="124"/>
      <c r="AB15" s="361"/>
      <c r="AC15" s="278"/>
      <c r="AD15" s="278"/>
      <c r="AE15" s="143">
        <f>IF(AE2=1,1,0)</f>
        <v>0</v>
      </c>
      <c r="AF15" s="1298" t="s">
        <v>82</v>
      </c>
      <c r="AG15" s="1298"/>
      <c r="AH15" s="143">
        <f t="shared" ref="AH15:AH26" si="4">SUM(AI15:AN15)</f>
        <v>0</v>
      </c>
      <c r="AI15" s="367" t="str">
        <f>IF(AND(ISBLANK(E8),OR(NOT(ISBLANK(E9)),NOT(ISBLANK(E10)),NOT(ISBLANK(E11)),NOT(ISBLANK(I12)),NOT(ISBLANK(A14)))),1,"")</f>
        <v/>
      </c>
      <c r="AJ15" s="367" t="str">
        <f>IF(AND(ISBLANK(E9),OR(NOT(ISBLANK(E8)),NOT(ISBLANK(E10)),NOT(ISBLANK(E11)),NOT(ISBLANK(I12)),NOT(ISBLANK(A14)))),1,"")</f>
        <v/>
      </c>
      <c r="AK15" s="367" t="str">
        <f>IF(AND(ISBLANK(E10),OR(NOT(ISBLANK(E8)),NOT(ISBLANK(E9)),NOT(ISBLANK(E11)),NOT(ISBLANK(I12)),NOT(ISBLANK(A14)))),1,"")</f>
        <v/>
      </c>
      <c r="AL15" s="367" t="str">
        <f>IF(AND(ISBLANK(E11),OR(NOT(ISBLANK(E8)),NOT(ISBLANK(E9)),NOT(ISBLANK(E10)),NOT(ISBLANK(I12)),NOT(ISBLANK(A14)))),1,"")</f>
        <v/>
      </c>
      <c r="AM15" s="367" t="str">
        <f>IF(AND(ISBLANK(I12),OR(NOT(ISBLANK(E8)),NOT(ISBLANK(E9)),NOT(ISBLANK(E10)),NOT(ISBLANK(E11)),NOT(ISBLANK(A14)))),1,"")</f>
        <v/>
      </c>
      <c r="AN15" s="367" t="str">
        <f>IF(AND(ISBLANK(A14),OR(NOT(ISBLANK(E8)),NOT(ISBLANK(E9)),NOT(ISBLANK(E10)),NOT(ISBLANK(E11)),NOT(ISBLANK(I12)))),1,"")</f>
        <v/>
      </c>
      <c r="AO15" s="278"/>
      <c r="AP15" s="278"/>
      <c r="AZ15" s="200"/>
      <c r="BA15" s="356" t="str">
        <f t="shared" si="1"/>
        <v/>
      </c>
      <c r="BB15" s="356" t="str">
        <f t="shared" si="3"/>
        <v/>
      </c>
      <c r="BC15" s="356" t="str">
        <f>V64</f>
        <v/>
      </c>
      <c r="BD15" s="200"/>
    </row>
    <row r="16" spans="1:56" s="200" customFormat="1" ht="25.9" customHeight="1" x14ac:dyDescent="0.25">
      <c r="A16" s="1322" t="s">
        <v>616</v>
      </c>
      <c r="B16" s="1323"/>
      <c r="C16" s="1323"/>
      <c r="D16" s="1323"/>
      <c r="E16" s="1323"/>
      <c r="F16" s="1323"/>
      <c r="G16" s="1323"/>
      <c r="H16" s="1323"/>
      <c r="I16" s="1323"/>
      <c r="J16" s="1324"/>
      <c r="K16" s="1307" t="s">
        <v>617</v>
      </c>
      <c r="L16" s="1308"/>
      <c r="M16" s="1308"/>
      <c r="N16" s="1308"/>
      <c r="O16" s="1309"/>
      <c r="P16" s="365"/>
      <c r="Q16" s="400"/>
      <c r="R16" s="355" t="str">
        <f>IF(COUNTBLANK(P16:Q16)=2,"Please enter response.",IF(COUNTBLANK(P16:Q16)&lt;&gt;1,"Please VERIFY response.",""))</f>
        <v>Please enter response.</v>
      </c>
      <c r="S16" s="366" t="str">
        <f>IF(AND(ISBLANK(P16),ISBLANK(Q16)),"",IF(ISBLANK(P16),0,1))</f>
        <v/>
      </c>
      <c r="T16" s="233" t="s">
        <v>587</v>
      </c>
      <c r="X16" s="368"/>
      <c r="Y16" s="368"/>
      <c r="Z16" s="368"/>
      <c r="AA16" s="369"/>
      <c r="AB16" s="370"/>
      <c r="AC16" s="371"/>
      <c r="AD16" s="371"/>
      <c r="AE16" s="143">
        <f>IF(AE3=2,1,0)</f>
        <v>0</v>
      </c>
      <c r="AF16" s="1298" t="s">
        <v>84</v>
      </c>
      <c r="AG16" s="1298"/>
      <c r="AH16" s="143">
        <f t="shared" si="4"/>
        <v>0</v>
      </c>
      <c r="AI16" s="367" t="str">
        <f>IF(AND(ISBLANK(E51),OR(NOT(ISBLANK(E52)),NOT(ISBLANK(E53)),NOT(ISBLANK(E54)),NOT(ISBLANK(I55)),NOT(ISBLANK(A57)))),1,"")</f>
        <v/>
      </c>
      <c r="AJ16" s="367" t="str">
        <f>IF(AND(ISBLANK(E52),OR(NOT(ISBLANK(E51)),NOT(ISBLANK(E53)),NOT(ISBLANK(E54)),NOT(ISBLANK(I55)),NOT(ISBLANK(A57)))),1,"")</f>
        <v/>
      </c>
      <c r="AK16" s="367" t="str">
        <f>IF(AND(ISBLANK(E53),OR(NOT(ISBLANK(E51)),NOT(ISBLANK(E52)),NOT(ISBLANK(E54)),NOT(ISBLANK(I55)),NOT(ISBLANK(A57)))),1,"")</f>
        <v/>
      </c>
      <c r="AL16" s="367" t="str">
        <f>IF(AND(ISBLANK(E54),OR(NOT(ISBLANK(E51)),NOT(ISBLANK(E52)),NOT(ISBLANK(E53)),NOT(ISBLANK(I55)),NOT(ISBLANK(A57)))),1,"")</f>
        <v/>
      </c>
      <c r="AM16" s="372" t="str">
        <f>IF(AND(ISBLANK(I55),OR(NOT(ISBLANK(E51)),NOT(ISBLANK(E52)),NOT(ISBLANK(E53)),NOT(ISBLANK(E54)),NOT(ISBLANK(A57)))),1,"")</f>
        <v/>
      </c>
      <c r="AN16" s="372" t="str">
        <f>IF(AND(ISBLANK(A57),OR(NOT(ISBLANK(E51)),NOT(ISBLANK(E52)),NOT(ISBLANK(E53)),NOT(ISBLANK(E54)),NOT(ISBLANK(I55)))),1,"")</f>
        <v/>
      </c>
      <c r="AO16" s="371"/>
      <c r="AP16" s="371"/>
      <c r="AQ16" s="256"/>
      <c r="AR16" s="256"/>
      <c r="AS16" s="256"/>
      <c r="AT16" s="256"/>
      <c r="AU16" s="256"/>
      <c r="AV16" s="256"/>
      <c r="AW16" s="256"/>
      <c r="AX16" s="256"/>
      <c r="AZ16" s="124"/>
      <c r="BA16" s="356" t="str">
        <f t="shared" si="1"/>
        <v/>
      </c>
      <c r="BB16" s="356" t="str">
        <f t="shared" si="3"/>
        <v/>
      </c>
      <c r="BC16" s="356" t="str">
        <f>S66</f>
        <v/>
      </c>
      <c r="BD16" s="256"/>
    </row>
    <row r="17" spans="1:56" s="200" customFormat="1" ht="25.9" customHeight="1" x14ac:dyDescent="0.25">
      <c r="A17" s="1263"/>
      <c r="B17" s="1264"/>
      <c r="C17" s="1264"/>
      <c r="D17" s="1264"/>
      <c r="E17" s="1264"/>
      <c r="F17" s="1264"/>
      <c r="G17" s="1264"/>
      <c r="H17" s="1264"/>
      <c r="I17" s="1264"/>
      <c r="J17" s="1305"/>
      <c r="K17" s="1307" t="s">
        <v>618</v>
      </c>
      <c r="L17" s="1308"/>
      <c r="M17" s="1308"/>
      <c r="N17" s="1308"/>
      <c r="O17" s="1309"/>
      <c r="P17" s="365"/>
      <c r="Q17" s="400"/>
      <c r="R17" s="355" t="str">
        <f>IF(COUNTBLANK(P17:Q17)=2,"Please enter response.",IF(COUNTBLANK(P17:Q17)&lt;&gt;1,"Please VERIFY response.",""))</f>
        <v>Please enter response.</v>
      </c>
      <c r="S17" s="366" t="str">
        <f>IF(AND(ISBLANK(P17),ISBLANK(Q17)),"",IF(ISBLANK(P17),0,1))</f>
        <v/>
      </c>
      <c r="T17" s="233" t="s">
        <v>588</v>
      </c>
      <c r="X17" s="373"/>
      <c r="Y17" s="373"/>
      <c r="Z17" s="373"/>
      <c r="AA17" s="124"/>
      <c r="AB17" s="370"/>
      <c r="AC17" s="122"/>
      <c r="AD17" s="122"/>
      <c r="AE17" s="143">
        <f>IF(AE4=3,1,0)</f>
        <v>0</v>
      </c>
      <c r="AF17" s="1298" t="s">
        <v>85</v>
      </c>
      <c r="AG17" s="1298"/>
      <c r="AH17" s="143">
        <f t="shared" si="4"/>
        <v>0</v>
      </c>
      <c r="AI17" s="374" t="str">
        <f>IF(AND(ISBLANK(E94),OR(NOT(ISBLANK(E95)),NOT(ISBLANK(E96)),NOT(ISBLANK(E97)),NOT(ISBLANK(I98)),NOT(ISBLANK(A100)))),1,"")</f>
        <v/>
      </c>
      <c r="AJ17" s="374" t="str">
        <f>IF(AND(ISBLANK(E95),OR(NOT(ISBLANK(E94)),NOT(ISBLANK(E96)),NOT(ISBLANK(E97)),NOT(ISBLANK(I98)),NOT(ISBLANK(A100)))),1,"")</f>
        <v/>
      </c>
      <c r="AK17" s="374" t="str">
        <f>IF(AND(ISBLANK(E96),OR(NOT(ISBLANK(E94)),NOT(ISBLANK(E95)),NOT(ISBLANK(E97)),NOT(ISBLANK(I98)),NOT(ISBLANK(A100)))),1,"")</f>
        <v/>
      </c>
      <c r="AL17" s="374" t="str">
        <f>IF(AND(ISBLANK(E97),OR(NOT(ISBLANK(E94)),NOT(ISBLANK(E95)),NOT(ISBLANK(E96)),NOT(ISBLANK(I98)),NOT(ISBLANK(A100)))),1,"")</f>
        <v/>
      </c>
      <c r="AM17" s="374" t="str">
        <f>IF(AND(ISBLANK(I98),OR(NOT(ISBLANK(E94)),NOT(ISBLANK(E95)),NOT(ISBLANK(E96)),NOT(ISBLANK(E97)),NOT(ISBLANK(A100)))),1,"")</f>
        <v/>
      </c>
      <c r="AN17" s="375" t="str">
        <f>IF(AND(ISBLANK(A100),OR(NOT(ISBLANK(E94)),NOT(ISBLANK(E95)),NOT(ISBLANK(E96)),NOT(ISBLANK(E97)),NOT(ISBLANK(I98)))),1,"")</f>
        <v/>
      </c>
      <c r="AO17" s="122"/>
      <c r="AP17" s="122"/>
      <c r="AQ17" s="256"/>
      <c r="AR17" s="256"/>
      <c r="AS17" s="256"/>
      <c r="AT17" s="256"/>
      <c r="AU17" s="256"/>
      <c r="AV17" s="256"/>
      <c r="AW17" s="256"/>
      <c r="AX17" s="256"/>
      <c r="AZ17" s="124"/>
      <c r="BA17" s="356" t="str">
        <f t="shared" si="1"/>
        <v/>
      </c>
      <c r="BB17" s="356" t="str">
        <f t="shared" si="3"/>
        <v/>
      </c>
      <c r="BC17" s="356" t="str">
        <f>S67</f>
        <v/>
      </c>
    </row>
    <row r="18" spans="1:56" s="200" customFormat="1" ht="25.9" customHeight="1" x14ac:dyDescent="0.25">
      <c r="A18" s="1279"/>
      <c r="B18" s="1280"/>
      <c r="C18" s="1280"/>
      <c r="D18" s="1280"/>
      <c r="E18" s="1280"/>
      <c r="F18" s="1280"/>
      <c r="G18" s="1280"/>
      <c r="H18" s="1280"/>
      <c r="I18" s="1280"/>
      <c r="J18" s="1306"/>
      <c r="K18" s="1307" t="s">
        <v>619</v>
      </c>
      <c r="L18" s="1308"/>
      <c r="M18" s="1308"/>
      <c r="N18" s="1308"/>
      <c r="O18" s="1309"/>
      <c r="P18" s="365"/>
      <c r="Q18" s="400"/>
      <c r="R18" s="355" t="str">
        <f>IF(COUNTBLANK(P18:Q18)=2,"Please enter response.",IF(COUNTBLANK(P18:Q18)&lt;&gt;1,"Please VERIFY response.",""))</f>
        <v>Please enter response.</v>
      </c>
      <c r="S18" s="366" t="str">
        <f>IF(AND(ISBLANK(P18),ISBLANK(Q18)),"",IF(ISBLANK(P18),0,1))</f>
        <v/>
      </c>
      <c r="T18" s="233" t="s">
        <v>589</v>
      </c>
      <c r="X18" s="373"/>
      <c r="Y18" s="373"/>
      <c r="Z18" s="373"/>
      <c r="AA18" s="124"/>
      <c r="AB18" s="370"/>
      <c r="AC18" s="122"/>
      <c r="AD18" s="122"/>
      <c r="AE18" s="143">
        <f>IF(AE5=4,1,0)</f>
        <v>0</v>
      </c>
      <c r="AF18" s="1298" t="s">
        <v>86</v>
      </c>
      <c r="AG18" s="1298"/>
      <c r="AH18" s="143">
        <f t="shared" si="4"/>
        <v>0</v>
      </c>
      <c r="AI18" s="376" t="str">
        <f>IF(AND(ISBLANK(E137),OR(NOT(ISBLANK(E138)),NOT(ISBLANK(E139)),NOT(ISBLANK(E140)),NOT(ISBLANK(I141)),NOT(ISBLANK(A143)))),1,"")</f>
        <v/>
      </c>
      <c r="AJ18" s="374" t="str">
        <f>IF(AND(ISBLANK(E138),OR(NOT(ISBLANK(E137)),NOT(ISBLANK(E139)),NOT(ISBLANK(E140)),NOT(ISBLANK(I141)),NOT(ISBLANK(A143)))),1,"")</f>
        <v/>
      </c>
      <c r="AK18" s="374" t="str">
        <f>IF(AND(ISBLANK(E139),OR(NOT(ISBLANK(E137)),NOT(ISBLANK(E138)),NOT(ISBLANK(E140)),NOT(ISBLANK(I141)),NOT(ISBLANK(A143)))),1,"")</f>
        <v/>
      </c>
      <c r="AL18" s="374" t="str">
        <f>IF(AND(ISBLANK(E140),OR(NOT(ISBLANK(E137)),NOT(ISBLANK(E138)),NOT(ISBLANK(E139)),NOT(ISBLANK(I141)),NOT(ISBLANK(A143)))),1,"")</f>
        <v/>
      </c>
      <c r="AM18" s="374" t="str">
        <f>IF(AND(ISBLANK(I141),OR(NOT(ISBLANK(E137)),NOT(ISBLANK(E138)),NOT(ISBLANK(E139)),NOT(ISBLANK(E140)),NOT(ISBLANK(A143)))),1,"")</f>
        <v/>
      </c>
      <c r="AN18" s="374" t="str">
        <f>IF(AND(ISBLANK(A143),OR(NOT(ISBLANK(E137)),NOT(ISBLANK(E138)),NOT(ISBLANK(E139)),NOT(ISBLANK(E140)),NOT(ISBLANK(I141)))),1,"")</f>
        <v/>
      </c>
      <c r="AO18" s="122"/>
      <c r="AP18" s="122"/>
      <c r="AQ18" s="256"/>
      <c r="AR18" s="256"/>
      <c r="AS18" s="256"/>
      <c r="AT18" s="256"/>
      <c r="AU18" s="256"/>
      <c r="AV18" s="256"/>
      <c r="AW18" s="256"/>
      <c r="AX18" s="256"/>
      <c r="AZ18" s="124"/>
      <c r="BA18" s="356" t="str">
        <f t="shared" si="1"/>
        <v/>
      </c>
      <c r="BB18" s="356" t="str">
        <f t="shared" si="3"/>
        <v/>
      </c>
      <c r="BC18" s="356" t="str">
        <f>S68</f>
        <v/>
      </c>
    </row>
    <row r="19" spans="1:56" ht="25.9" customHeight="1" x14ac:dyDescent="0.25">
      <c r="A19" s="1310" t="s">
        <v>620</v>
      </c>
      <c r="B19" s="1311"/>
      <c r="C19" s="1311"/>
      <c r="D19" s="1311"/>
      <c r="E19" s="1311"/>
      <c r="F19" s="1311"/>
      <c r="G19" s="1311"/>
      <c r="H19" s="1311"/>
      <c r="I19" s="1311"/>
      <c r="J19" s="1311"/>
      <c r="K19" s="1311"/>
      <c r="L19" s="1311"/>
      <c r="M19" s="1311"/>
      <c r="N19" s="1311"/>
      <c r="O19" s="1311"/>
      <c r="P19" s="1311"/>
      <c r="Q19" s="1312"/>
      <c r="R19" s="534" t="s">
        <v>752</v>
      </c>
      <c r="S19" s="377"/>
      <c r="T19" s="368"/>
      <c r="U19" s="368"/>
      <c r="V19" s="368"/>
      <c r="W19" s="368"/>
      <c r="X19" s="378"/>
      <c r="Y19" s="378"/>
      <c r="Z19" s="378"/>
      <c r="AA19" s="124"/>
      <c r="AB19" s="379"/>
      <c r="AC19" s="124"/>
      <c r="AD19" s="124"/>
      <c r="AE19" s="143">
        <f>IF(AE6=5,1,0)</f>
        <v>0</v>
      </c>
      <c r="AF19" s="1298" t="s">
        <v>201</v>
      </c>
      <c r="AG19" s="1298"/>
      <c r="AH19" s="143">
        <f t="shared" si="4"/>
        <v>0</v>
      </c>
      <c r="AI19" s="374" t="str">
        <f>IF(AND(ISBLANK(E180),OR(NOT(ISBLANK(E181)),NOT(ISBLANK(E182)),NOT(ISBLANK(E183)),NOT(ISBLANK(I184)),NOT(ISBLANK(A186)))),1,"")</f>
        <v/>
      </c>
      <c r="AJ19" s="374" t="str">
        <f>IF(AND(ISBLANK(E181),OR(NOT(ISBLANK(E180)),NOT(ISBLANK(E182)),NOT(ISBLANK(E183)),NOT(ISBLANK(I184)),NOT(ISBLANK(A186)))),1,"")</f>
        <v/>
      </c>
      <c r="AK19" s="374" t="str">
        <f>IF(AND(ISBLANK(E182),OR(NOT(ISBLANK(E180)),NOT(ISBLANK(E181)),NOT(ISBLANK(E183)),NOT(ISBLANK(I184)),NOT(ISBLANK(A186)))),1,"")</f>
        <v/>
      </c>
      <c r="AL19" s="374" t="str">
        <f>IF(AND(ISBLANK(E183),OR(NOT(ISBLANK(E180)),NOT(ISBLANK(E181)),NOT(ISBLANK(E182)),NOT(ISBLANK(I184)),NOT(ISBLANK(A186)))),1,"")</f>
        <v/>
      </c>
      <c r="AM19" s="374" t="str">
        <f>IF(AND(ISBLANK(I184),OR(NOT(ISBLANK(E180)),NOT(ISBLANK(E181)),NOT(ISBLANK(E182)),NOT(ISBLANK(E183)),NOT(ISBLANK(A186)))),1,"")</f>
        <v/>
      </c>
      <c r="AN19" s="374" t="str">
        <f>IF(AND(ISBLANK(A186),OR(NOT(ISBLANK(E180)),NOT(ISBLANK(E181)),NOT(ISBLANK(E182)),NOT(ISBLANK(E183)),NOT(ISBLANK(I184)))),1,"")</f>
        <v/>
      </c>
      <c r="AO19" s="124"/>
      <c r="AP19" s="124"/>
      <c r="AQ19" s="200"/>
      <c r="AR19" s="200"/>
      <c r="AS19" s="200"/>
      <c r="AT19" s="200"/>
      <c r="AU19" s="200"/>
      <c r="AV19" s="200"/>
      <c r="AW19" s="200"/>
      <c r="AX19" s="200"/>
      <c r="AZ19" s="124"/>
      <c r="BA19" s="356" t="str">
        <f t="shared" si="1"/>
        <v/>
      </c>
      <c r="BB19" s="356" t="str">
        <f t="shared" si="3"/>
        <v/>
      </c>
      <c r="BC19" s="356" t="str">
        <f>S76</f>
        <v/>
      </c>
    </row>
    <row r="20" spans="1:56" ht="25.9" customHeight="1" x14ac:dyDescent="0.25">
      <c r="A20" s="1313" t="s">
        <v>621</v>
      </c>
      <c r="B20" s="1314"/>
      <c r="C20" s="1314"/>
      <c r="D20" s="1314"/>
      <c r="E20" s="1314" t="s">
        <v>622</v>
      </c>
      <c r="F20" s="1314"/>
      <c r="G20" s="1314"/>
      <c r="H20" s="1314"/>
      <c r="I20" s="1314" t="s">
        <v>623</v>
      </c>
      <c r="J20" s="1314"/>
      <c r="K20" s="1314"/>
      <c r="L20" s="1314"/>
      <c r="M20" s="1315" t="s">
        <v>624</v>
      </c>
      <c r="N20" s="1314"/>
      <c r="O20" s="1314"/>
      <c r="P20" s="1314"/>
      <c r="Q20" s="1316"/>
      <c r="R20" s="534" t="s">
        <v>752</v>
      </c>
      <c r="S20" s="1298" t="s">
        <v>625</v>
      </c>
      <c r="T20" s="1298"/>
      <c r="U20" s="1298"/>
      <c r="V20" s="1298"/>
      <c r="W20" s="373"/>
      <c r="X20" s="380"/>
      <c r="Y20" s="380"/>
      <c r="Z20" s="380"/>
      <c r="AA20" s="124"/>
      <c r="AB20" s="370"/>
      <c r="AC20" s="122"/>
      <c r="AD20" s="122"/>
      <c r="AE20" s="143">
        <f>IF(AE7=6,1,0)</f>
        <v>0</v>
      </c>
      <c r="AF20" s="1298" t="s">
        <v>202</v>
      </c>
      <c r="AG20" s="1298"/>
      <c r="AH20" s="143">
        <f t="shared" si="4"/>
        <v>0</v>
      </c>
      <c r="AI20" s="372" t="str">
        <f>IF(AND(ISBLANK(E223),OR(NOT(ISBLANK(E224)),NOT(ISBLANK(E225)),NOT(ISBLANK(E226)),NOT(ISBLANK(I227)),NOT(ISBLANK(A229)))),1,"")</f>
        <v/>
      </c>
      <c r="AJ20" s="374" t="str">
        <f>IF(AND(ISBLANK(E224),OR(NOT(ISBLANK(E223)),NOT(ISBLANK(E225)),NOT(ISBLANK(E226)),NOT(ISBLANK(I227)),NOT(ISBLANK(A229)))),1,"")</f>
        <v/>
      </c>
      <c r="AK20" s="374" t="str">
        <f>IF(AND(ISBLANK(E225),OR(NOT(ISBLANK(E223)),NOT(ISBLANK(E224)),NOT(ISBLANK(E226)),NOT(ISBLANK(I227)),NOT(ISBLANK(A229)))),1,"")</f>
        <v/>
      </c>
      <c r="AL20" s="374" t="str">
        <f>IF(AND(ISBLANK(E226),OR(NOT(ISBLANK(E223)),NOT(ISBLANK(E224)),NOT(ISBLANK(E225)),NOT(ISBLANK(I227)),NOT(ISBLANK(A229)))),1,"")</f>
        <v/>
      </c>
      <c r="AM20" s="374" t="str">
        <f>IF(AND(ISBLANK(I227),OR(NOT(ISBLANK(E223)),NOT(ISBLANK(E224)),NOT(ISBLANK(E225)),NOT(ISBLANK(E226)),NOT(ISBLANK(A229)))),1,"")</f>
        <v/>
      </c>
      <c r="AN20" s="374" t="str">
        <f>IF(AND(ISBLANK(A229),OR(NOT(ISBLANK(E223)),NOT(ISBLANK(E224)),NOT(ISBLANK(E225)),NOT(ISBLANK(E226)),NOT(ISBLANK(I227)))),1,"")</f>
        <v/>
      </c>
      <c r="AO20" s="122"/>
      <c r="AP20" s="122"/>
      <c r="AZ20" s="124"/>
      <c r="BA20" s="356" t="str">
        <f t="shared" si="1"/>
        <v/>
      </c>
      <c r="BB20" s="356" t="str">
        <f t="shared" si="3"/>
        <v/>
      </c>
      <c r="BC20" s="356" t="str">
        <f>S77</f>
        <v/>
      </c>
    </row>
    <row r="21" spans="1:56" s="200" customFormat="1" ht="25.9" customHeight="1" thickBot="1" x14ac:dyDescent="0.3">
      <c r="A21" s="1382"/>
      <c r="B21" s="1383"/>
      <c r="C21" s="1383"/>
      <c r="D21" s="1383"/>
      <c r="E21" s="1383"/>
      <c r="F21" s="1383"/>
      <c r="G21" s="1383"/>
      <c r="H21" s="1383"/>
      <c r="I21" s="1383"/>
      <c r="J21" s="1383"/>
      <c r="K21" s="1383"/>
      <c r="L21" s="1383"/>
      <c r="M21" s="1384"/>
      <c r="N21" s="1384"/>
      <c r="O21" s="1384"/>
      <c r="P21" s="1384"/>
      <c r="Q21" s="1385"/>
      <c r="R21" s="534" t="s">
        <v>752</v>
      </c>
      <c r="S21" s="381" t="str">
        <f>IF(ISBLANK(A21),"",VLOOKUP(A21,VProjType,2,FALSE))</f>
        <v/>
      </c>
      <c r="T21" s="381" t="str">
        <f>IF(ISBLANK(E21),"",VLOOKUP(E21,VSubtype1,2,FALSE))</f>
        <v/>
      </c>
      <c r="U21" s="381" t="str">
        <f>IF(ISBLANK(I21),"",VLOOKUP(I21,VSubtype2,2,FALSE))</f>
        <v/>
      </c>
      <c r="V21" s="381" t="str">
        <f>IF(ISBLANK(M21),"",VLOOKUP(M21,VSubtype3,2,FALSE))</f>
        <v/>
      </c>
      <c r="W21" s="368"/>
      <c r="X21" s="380"/>
      <c r="Y21" s="380"/>
      <c r="Z21" s="380"/>
      <c r="AA21" s="124"/>
      <c r="AB21" s="370"/>
      <c r="AC21" s="122"/>
      <c r="AD21" s="122"/>
      <c r="AE21" s="143">
        <f>IF(AE8=7,1,0)</f>
        <v>0</v>
      </c>
      <c r="AF21" s="1298" t="s">
        <v>206</v>
      </c>
      <c r="AG21" s="1298"/>
      <c r="AH21" s="143">
        <f t="shared" si="4"/>
        <v>0</v>
      </c>
      <c r="AI21" s="374" t="str">
        <f>IF(AND(ISBLANK(E266),OR(NOT(ISBLANK(E267)),NOT(ISBLANK(E268)),NOT(ISBLANK(E269)),NOT(ISBLANK(I270)),NOT(ISBLANK(A272)))),1,"")</f>
        <v/>
      </c>
      <c r="AJ21" s="374" t="str">
        <f>IF(AND(ISBLANK(E267),OR(NOT(ISBLANK(E266)),NOT(ISBLANK(E268)),NOT(ISBLANK(E269)),NOT(ISBLANK(I270)),NOT(ISBLANK(A272)))),1,"")</f>
        <v/>
      </c>
      <c r="AK21" s="374" t="str">
        <f>IF(AND(ISBLANK(E268),OR(NOT(ISBLANK(E266)),NOT(ISBLANK(E267)),NOT(ISBLANK(E269)),NOT(ISBLANK(I270)),NOT(ISBLANK(A272)))),1,"")</f>
        <v/>
      </c>
      <c r="AL21" s="374" t="str">
        <f>IF(AND(ISBLANK(E269),OR(NOT(ISBLANK(E266)),NOT(ISBLANK(E267)),NOT(ISBLANK(E268)),NOT(ISBLANK(I270)),NOT(ISBLANK(A272)))),1,"")</f>
        <v/>
      </c>
      <c r="AM21" s="374" t="str">
        <f>IF(AND(ISBLANK(I270),OR(NOT(ISBLANK(E266)),NOT(ISBLANK(E267)),NOT(ISBLANK(E268)),NOT(ISBLANK(E269)),NOT(ISBLANK(A272)))),1,"")</f>
        <v/>
      </c>
      <c r="AN21" s="374" t="str">
        <f>IF(AND(ISBLANK(A272),OR(NOT(ISBLANK(E266)),NOT(ISBLANK(E267)),NOT(ISBLANK(E268)),NOT(ISBLANK(E269)),NOT(ISBLANK(I270)))),1,"")</f>
        <v/>
      </c>
      <c r="AO21" s="122"/>
      <c r="AP21" s="122"/>
      <c r="AQ21" s="256"/>
      <c r="AR21" s="256"/>
      <c r="AS21" s="256"/>
      <c r="AT21" s="256"/>
      <c r="AU21" s="256"/>
      <c r="AV21" s="256"/>
      <c r="AW21" s="256"/>
      <c r="AX21" s="256"/>
      <c r="AY21" s="124"/>
      <c r="AZ21" s="124"/>
      <c r="BA21" s="333" t="str">
        <f t="shared" si="1"/>
        <v/>
      </c>
      <c r="BB21" s="333" t="str">
        <f t="shared" ref="BB21:BB29" si="5">IF(BC21="","",$Q$92)</f>
        <v/>
      </c>
      <c r="BC21" s="333" t="str">
        <f>S107</f>
        <v/>
      </c>
      <c r="BD21" s="195" t="s">
        <v>626</v>
      </c>
    </row>
    <row r="22" spans="1:56" ht="26.45" customHeight="1" x14ac:dyDescent="0.25">
      <c r="A22" s="1302" t="s">
        <v>627</v>
      </c>
      <c r="B22" s="1303"/>
      <c r="C22" s="1303"/>
      <c r="D22" s="1303"/>
      <c r="E22" s="1303"/>
      <c r="F22" s="1303"/>
      <c r="G22" s="1303"/>
      <c r="H22" s="1303"/>
      <c r="I22" s="1303"/>
      <c r="J22" s="1303"/>
      <c r="K22" s="1303"/>
      <c r="L22" s="1303"/>
      <c r="M22" s="1303"/>
      <c r="N22" s="1303"/>
      <c r="O22" s="1303"/>
      <c r="P22" s="1303"/>
      <c r="Q22" s="1304"/>
      <c r="R22" s="534" t="s">
        <v>752</v>
      </c>
      <c r="S22" s="382" t="s">
        <v>628</v>
      </c>
      <c r="T22" s="378"/>
      <c r="U22" s="378"/>
      <c r="V22" s="378"/>
      <c r="W22" s="378"/>
      <c r="X22" s="380"/>
      <c r="Y22" s="380"/>
      <c r="Z22" s="380"/>
      <c r="AA22" s="124"/>
      <c r="AB22" s="370"/>
      <c r="AC22" s="122"/>
      <c r="AD22" s="122"/>
      <c r="AE22" s="143">
        <f>IF(AE9=8,1,0)</f>
        <v>0</v>
      </c>
      <c r="AF22" s="1298" t="s">
        <v>205</v>
      </c>
      <c r="AG22" s="1298"/>
      <c r="AH22" s="143">
        <f t="shared" si="4"/>
        <v>0</v>
      </c>
      <c r="AI22" s="374" t="str">
        <f>IF(AND(ISBLANK(E309),OR(NOT(ISBLANK(E310)),NOT(ISBLANK(E311)),NOT(ISBLANK(E312)),NOT(ISBLANK(I313)),NOT(ISBLANK(A315)))),1,"")</f>
        <v/>
      </c>
      <c r="AJ22" s="374" t="str">
        <f>IF(AND(ISBLANK(E310),OR(NOT(ISBLANK(E309)),NOT(ISBLANK(E311)),NOT(ISBLANK(E312)),NOT(ISBLANK(I313)),NOT(ISBLANK(A315)))),1,"")</f>
        <v/>
      </c>
      <c r="AK22" s="374" t="str">
        <f>IF(AND(ISBLANK(E311),OR(NOT(ISBLANK(E309)),NOT(ISBLANK(E310)),NOT(ISBLANK(E312)),NOT(ISBLANK(I313)),NOT(ISBLANK(A315)))),1,"")</f>
        <v/>
      </c>
      <c r="AL22" s="374" t="str">
        <f>IF(AND(ISBLANK(E312),OR(NOT(ISBLANK(E309)),NOT(ISBLANK(E310)),NOT(ISBLANK(E311)),NOT(ISBLANK(I313)),NOT(ISBLANK(A315)))),1,"")</f>
        <v/>
      </c>
      <c r="AM22" s="374" t="str">
        <f>IF(AND(ISBLANK(I313),OR(NOT(ISBLANK(E309)),NOT(ISBLANK(E310)),NOT(ISBLANK(E311)),NOT(ISBLANK(E312)),NOT(ISBLANK(A315)))),1,"")</f>
        <v/>
      </c>
      <c r="AN22" s="374" t="str">
        <f>IF(AND(ISBLANK(A315),OR(NOT(ISBLANK(E309)),NOT(ISBLANK(E310)),NOT(ISBLANK(E311)),NOT(ISBLANK(E312)),NOT(ISBLANK(I313)))),1,"")</f>
        <v/>
      </c>
      <c r="AO22" s="122"/>
      <c r="AP22" s="122"/>
      <c r="AY22" s="122"/>
      <c r="AZ22" s="124"/>
      <c r="BA22" s="333" t="str">
        <f t="shared" si="1"/>
        <v/>
      </c>
      <c r="BB22" s="333" t="str">
        <f t="shared" si="5"/>
        <v/>
      </c>
      <c r="BC22" s="333" t="str">
        <f>T107</f>
        <v/>
      </c>
      <c r="BD22" s="200"/>
    </row>
    <row r="23" spans="1:56" ht="26.45" customHeight="1" x14ac:dyDescent="0.25">
      <c r="A23" s="1269" t="s">
        <v>629</v>
      </c>
      <c r="B23" s="1270"/>
      <c r="C23" s="1270"/>
      <c r="D23" s="1270"/>
      <c r="E23" s="1270"/>
      <c r="F23" s="1270"/>
      <c r="G23" s="1270"/>
      <c r="H23" s="1270"/>
      <c r="I23" s="1270"/>
      <c r="J23" s="1270"/>
      <c r="K23" s="1270"/>
      <c r="L23" s="1271"/>
      <c r="M23" s="1375"/>
      <c r="N23" s="1375"/>
      <c r="O23" s="1375"/>
      <c r="P23" s="1375"/>
      <c r="Q23" s="1376"/>
      <c r="R23" s="534" t="s">
        <v>752</v>
      </c>
      <c r="S23" s="383" t="str">
        <f>IF(ISBLANK(M23),"",VLOOKUP(M23,VRemote,2,FALSE))</f>
        <v/>
      </c>
      <c r="T23" s="384" t="s">
        <v>630</v>
      </c>
      <c r="U23" s="378"/>
      <c r="V23" s="378"/>
      <c r="W23" s="378"/>
      <c r="X23" s="380"/>
      <c r="Y23" s="380"/>
      <c r="Z23" s="380"/>
      <c r="AA23" s="124"/>
      <c r="AB23" s="370"/>
      <c r="AC23" s="122"/>
      <c r="AD23" s="122"/>
      <c r="AE23" s="143">
        <f>IF(AE10=9,1,0)</f>
        <v>0</v>
      </c>
      <c r="AF23" s="1298" t="s">
        <v>204</v>
      </c>
      <c r="AG23" s="1298"/>
      <c r="AH23" s="143">
        <f t="shared" si="4"/>
        <v>0</v>
      </c>
      <c r="AI23" s="374" t="str">
        <f>IF(AND(ISBLANK(E352),OR(NOT(ISBLANK(E353)),NOT(ISBLANK(E354)),NOT(ISBLANK(E355)),NOT(ISBLANK(I356)),NOT(ISBLANK(A358)))),1,"")</f>
        <v/>
      </c>
      <c r="AJ23" s="374" t="str">
        <f>IF(AND(ISBLANK(E353),OR(NOT(ISBLANK(E352)),NOT(ISBLANK(E354)),NOT(ISBLANK(E355)),NOT(ISBLANK(I356)),NOT(ISBLANK(A358)))),1,"")</f>
        <v/>
      </c>
      <c r="AK23" s="374" t="str">
        <f>IF(AND(ISBLANK(E354),OR(NOT(ISBLANK(E352)),NOT(ISBLANK(E353)),NOT(ISBLANK(E355)),NOT(ISBLANK(I356)),NOT(ISBLANK(A358)))),1,"")</f>
        <v/>
      </c>
      <c r="AL23" s="374" t="str">
        <f>IF(AND(ISBLANK(E355),OR(NOT(ISBLANK(E352)),NOT(ISBLANK(E353)),NOT(ISBLANK(E354)),NOT(ISBLANK(I356)),NOT(ISBLANK(A358)))),1,"")</f>
        <v/>
      </c>
      <c r="AM23" s="374" t="str">
        <f>IF(AND(ISBLANK(I356),OR(NOT(ISBLANK(E352)),NOT(ISBLANK(E353)),NOT(ISBLANK(E354)),NOT(ISBLANK(E355)),NOT(ISBLANK(A358)))),1,"")</f>
        <v/>
      </c>
      <c r="AN23" s="375" t="str">
        <f>IF(AND(ISBLANK(A358),OR(NOT(ISBLANK(E352)),NOT(ISBLANK(E353)),NOT(ISBLANK(E354)),NOT(ISBLANK(E355)),NOT(ISBLANK(I356)))),1,"")</f>
        <v/>
      </c>
      <c r="AO23" s="122"/>
      <c r="AP23" s="122"/>
      <c r="AY23" s="122"/>
      <c r="AZ23" s="124"/>
      <c r="BA23" s="333" t="str">
        <f t="shared" si="1"/>
        <v/>
      </c>
      <c r="BB23" s="333" t="str">
        <f t="shared" si="5"/>
        <v/>
      </c>
      <c r="BC23" s="333" t="str">
        <f>U107</f>
        <v/>
      </c>
    </row>
    <row r="24" spans="1:56" ht="26.45" customHeight="1" x14ac:dyDescent="0.25">
      <c r="A24" s="1269" t="s">
        <v>631</v>
      </c>
      <c r="B24" s="1270"/>
      <c r="C24" s="1270"/>
      <c r="D24" s="1270"/>
      <c r="E24" s="1270"/>
      <c r="F24" s="1270"/>
      <c r="G24" s="1270"/>
      <c r="H24" s="1270"/>
      <c r="I24" s="1270"/>
      <c r="J24" s="1270"/>
      <c r="K24" s="1270"/>
      <c r="L24" s="1270"/>
      <c r="M24" s="1375"/>
      <c r="N24" s="1375"/>
      <c r="O24" s="1375"/>
      <c r="P24" s="1375"/>
      <c r="Q24" s="1376"/>
      <c r="R24" s="534" t="s">
        <v>752</v>
      </c>
      <c r="S24" s="383" t="str">
        <f>IF(ISBLANK(M24),"",VLOOKUP(M24,VCapacity,2,FALSE))</f>
        <v/>
      </c>
      <c r="T24" s="151" t="s">
        <v>632</v>
      </c>
      <c r="U24" s="380"/>
      <c r="V24" s="380"/>
      <c r="W24" s="380"/>
      <c r="X24" s="380"/>
      <c r="Y24" s="380"/>
      <c r="Z24" s="380"/>
      <c r="AA24" s="378"/>
      <c r="AB24" s="378"/>
      <c r="AC24" s="378"/>
      <c r="AD24" s="385"/>
      <c r="AE24" s="143">
        <f>IF(AE11=10,1,0)</f>
        <v>0</v>
      </c>
      <c r="AF24" s="1298" t="s">
        <v>203</v>
      </c>
      <c r="AG24" s="1298"/>
      <c r="AH24" s="143">
        <f t="shared" si="4"/>
        <v>0</v>
      </c>
      <c r="AI24" s="374" t="str">
        <f>IF(AND(ISBLANK(E395),OR(NOT(ISBLANK(E396)),NOT(ISBLANK(E397)),NOT(ISBLANK(E398)),NOT(ISBLANK(I399)),NOT(ISBLANK(A401)))),1,"")</f>
        <v/>
      </c>
      <c r="AJ24" s="374" t="str">
        <f>IF(AND(ISBLANK(E396),OR(NOT(ISBLANK(E395)),NOT(ISBLANK(E397)),NOT(ISBLANK(E398)),NOT(ISBLANK(I399)),NOT(ISBLANK(A401)))),1,"")</f>
        <v/>
      </c>
      <c r="AK24" s="374" t="str">
        <f>IF(AND(ISBLANK(E397),OR(NOT(ISBLANK(E395)),NOT(ISBLANK(E396)),NOT(ISBLANK(E398)),NOT(ISBLANK(I399)),NOT(ISBLANK(A401)))),1,"")</f>
        <v/>
      </c>
      <c r="AL24" s="374" t="str">
        <f>IF(AND(ISBLANK(E398),OR(NOT(ISBLANK(E395)),NOT(ISBLANK(E396)),NOT(ISBLANK(E397)),NOT(ISBLANK(I399)),NOT(ISBLANK(A401)))),1,"")</f>
        <v/>
      </c>
      <c r="AM24" s="374" t="str">
        <f>IF(AND(ISBLANK(I399),OR(NOT(ISBLANK(E395)),NOT(ISBLANK(E396)),NOT(ISBLANK(E397)),NOT(ISBLANK(E398)),NOT(ISBLANK(A401)))),1,"")</f>
        <v/>
      </c>
      <c r="AN24" s="374" t="str">
        <f>IF(AND(ISBLANK(A401),OR(NOT(ISBLANK(E395)),NOT(ISBLANK(E396)),NOT(ISBLANK(E397)),NOT(ISBLANK(E398)),NOT(ISBLANK(I399)))),1,"")</f>
        <v/>
      </c>
      <c r="AO24" s="124"/>
      <c r="AP24" s="124"/>
      <c r="AQ24" s="124"/>
      <c r="AR24" s="124"/>
      <c r="AS24" s="124"/>
      <c r="AT24" s="124"/>
      <c r="AU24" s="124"/>
      <c r="AV24" s="124"/>
      <c r="AW24" s="124"/>
      <c r="AX24" s="124"/>
      <c r="AY24" s="122"/>
      <c r="AZ24" s="124"/>
      <c r="BA24" s="333" t="str">
        <f t="shared" si="1"/>
        <v/>
      </c>
      <c r="BB24" s="333" t="str">
        <f t="shared" si="5"/>
        <v/>
      </c>
      <c r="BC24" s="333" t="str">
        <f>V107</f>
        <v/>
      </c>
    </row>
    <row r="25" spans="1:56" ht="26.45" customHeight="1" x14ac:dyDescent="0.25">
      <c r="A25" s="1269" t="s">
        <v>633</v>
      </c>
      <c r="B25" s="1270"/>
      <c r="C25" s="1270"/>
      <c r="D25" s="1270"/>
      <c r="E25" s="1270"/>
      <c r="F25" s="1270"/>
      <c r="G25" s="1270"/>
      <c r="H25" s="1270"/>
      <c r="I25" s="1270"/>
      <c r="J25" s="1270"/>
      <c r="K25" s="1270"/>
      <c r="L25" s="1270"/>
      <c r="M25" s="1377"/>
      <c r="N25" s="1377"/>
      <c r="O25" s="1377"/>
      <c r="P25" s="1377"/>
      <c r="Q25" s="1378"/>
      <c r="R25" s="534" t="s">
        <v>752</v>
      </c>
      <c r="S25" s="383" t="str">
        <f>IF(ISBLANK(M25),"",VLOOKUP(M25,VPriorCap,2,FALSE))</f>
        <v/>
      </c>
      <c r="T25" s="151" t="s">
        <v>634</v>
      </c>
      <c r="U25" s="380"/>
      <c r="V25" s="380"/>
      <c r="W25" s="380"/>
      <c r="X25" s="378"/>
      <c r="Y25" s="378"/>
      <c r="Z25" s="378"/>
      <c r="AA25" s="380"/>
      <c r="AB25" s="380"/>
      <c r="AC25" s="380"/>
      <c r="AD25" s="385"/>
      <c r="AE25" s="143">
        <f>IF(AE12=11,1,0)</f>
        <v>0</v>
      </c>
      <c r="AF25" s="1298" t="s">
        <v>635</v>
      </c>
      <c r="AG25" s="1298"/>
      <c r="AH25" s="143">
        <f t="shared" si="4"/>
        <v>0</v>
      </c>
      <c r="AI25" s="374" t="str">
        <f>IF(AND(ISBLANK(E438),OR(NOT(ISBLANK(E439)),NOT(ISBLANK(E440)),NOT(ISBLANK(E441)),NOT(ISBLANK(I442)),NOT(ISBLANK(A444)))),1,"")</f>
        <v/>
      </c>
      <c r="AJ25" s="374" t="str">
        <f>IF(AND(ISBLANK(E439),OR(NOT(ISBLANK(E438)),NOT(ISBLANK(E440)),NOT(ISBLANK(E441)),NOT(ISBLANK(I442)),NOT(ISBLANK(A444)))),1,"")</f>
        <v/>
      </c>
      <c r="AK25" s="374" t="str">
        <f>IF(AND(ISBLANK(E440),OR(NOT(ISBLANK(E438)),NOT(ISBLANK(E439)),NOT(ISBLANK(E441)),NOT(ISBLANK(I442)),NOT(ISBLANK(A444)))),1,"")</f>
        <v/>
      </c>
      <c r="AL25" s="374" t="str">
        <f>IF(AND(ISBLANK(E441),OR(NOT(ISBLANK(E438)),NOT(ISBLANK(E439)),NOT(ISBLANK(E440)),NOT(ISBLANK(I442)),NOT(ISBLANK(A444)))),1,"")</f>
        <v/>
      </c>
      <c r="AM25" s="374" t="str">
        <f>IF(AND(ISBLANK(I442),OR(NOT(ISBLANK(E438)),NOT(ISBLANK(E439)),NOT(ISBLANK(E440)),NOT(ISBLANK(E441)),NOT(ISBLANK(A444)))),1,"")</f>
        <v/>
      </c>
      <c r="AN25" s="374" t="str">
        <f>IF(AND(ISBLANK(A444),OR(NOT(ISBLANK(E438)),NOT(ISBLANK(E439)),NOT(ISBLANK(E440)),NOT(ISBLANK(E441)),NOT(ISBLANK(I442)))),1,"")</f>
        <v/>
      </c>
      <c r="AO25" s="122"/>
      <c r="AP25" s="122"/>
      <c r="AQ25" s="122"/>
      <c r="AR25" s="122"/>
      <c r="AS25" s="122"/>
      <c r="AT25" s="122"/>
      <c r="AU25" s="122"/>
      <c r="AV25" s="122"/>
      <c r="AW25" s="122"/>
      <c r="AX25" s="122"/>
      <c r="AY25" s="122"/>
      <c r="AZ25" s="124"/>
      <c r="BA25" s="333" t="str">
        <f t="shared" si="1"/>
        <v/>
      </c>
      <c r="BB25" s="333" t="str">
        <f t="shared" si="5"/>
        <v/>
      </c>
      <c r="BC25" s="333" t="str">
        <f>S109</f>
        <v/>
      </c>
    </row>
    <row r="26" spans="1:56" ht="26.45" customHeight="1" x14ac:dyDescent="0.25">
      <c r="A26" s="1286" t="s">
        <v>636</v>
      </c>
      <c r="B26" s="1287"/>
      <c r="C26" s="1287"/>
      <c r="D26" s="1287"/>
      <c r="E26" s="1287"/>
      <c r="F26" s="1287"/>
      <c r="G26" s="1287"/>
      <c r="H26" s="1287"/>
      <c r="I26" s="1287"/>
      <c r="J26" s="1287"/>
      <c r="K26" s="1287"/>
      <c r="L26" s="1287"/>
      <c r="M26" s="1379"/>
      <c r="N26" s="1379"/>
      <c r="O26" s="1379"/>
      <c r="P26" s="1379"/>
      <c r="Q26" s="1380"/>
      <c r="R26" s="534" t="s">
        <v>752</v>
      </c>
      <c r="S26" s="386" t="str">
        <f>IF(ISBLANK(A27),"",A27)</f>
        <v/>
      </c>
      <c r="T26" s="151" t="s">
        <v>583</v>
      </c>
      <c r="U26" s="380"/>
      <c r="V26" s="380"/>
      <c r="W26" s="380"/>
      <c r="X26" s="380"/>
      <c r="Y26" s="380"/>
      <c r="Z26" s="380"/>
      <c r="AA26" s="380"/>
      <c r="AB26" s="380"/>
      <c r="AC26" s="380"/>
      <c r="AD26" s="385"/>
      <c r="AE26" s="143">
        <f>IF(AE13=12,1,0)</f>
        <v>0</v>
      </c>
      <c r="AF26" s="1298" t="s">
        <v>637</v>
      </c>
      <c r="AG26" s="1298"/>
      <c r="AH26" s="143">
        <f t="shared" si="4"/>
        <v>0</v>
      </c>
      <c r="AI26" s="374" t="str">
        <f>IF(AND(ISBLANK(E481),OR(NOT(ISBLANK(E482)),NOT(ISBLANK(E483)),NOT(ISBLANK(E484)),NOT(ISBLANK(I485)),NOT(ISBLANK(A487)))),1,"")</f>
        <v/>
      </c>
      <c r="AJ26" s="374" t="str">
        <f>IF(AND(ISBLANK(E482),OR(NOT(ISBLANK(E481)),NOT(ISBLANK(E483)),NOT(ISBLANK(E484)),NOT(ISBLANK(I485)),NOT(ISBLANK(A487)))),1,"")</f>
        <v/>
      </c>
      <c r="AK26" s="374" t="str">
        <f>IF(AND(ISBLANK(E483),OR(NOT(ISBLANK(E481)),NOT(ISBLANK(E482)),NOT(ISBLANK(E484)),NOT(ISBLANK(I485)),NOT(ISBLANK(A487)))),1,"")</f>
        <v/>
      </c>
      <c r="AL26" s="374" t="str">
        <f>IF(AND(ISBLANK(E484),OR(NOT(ISBLANK(E481)),NOT(ISBLANK(E482)),NOT(ISBLANK(E483)),NOT(ISBLANK(I485)),NOT(ISBLANK(A487)))),1,"")</f>
        <v/>
      </c>
      <c r="AM26" s="374" t="str">
        <f>IF(AND(ISBLANK(I485),OR(NOT(ISBLANK(E481)),NOT(ISBLANK(E482)),NOT(ISBLANK(E483)),NOT(ISBLANK(E484)),NOT(ISBLANK(A487)))),1,"")</f>
        <v/>
      </c>
      <c r="AN26" s="374" t="str">
        <f>IF(AND(ISBLANK(A487),OR(NOT(ISBLANK(E481)),NOT(ISBLANK(E482)),NOT(ISBLANK(E483)),NOT(ISBLANK(E484)),NOT(ISBLANK(I485)))),1,"")</f>
        <v/>
      </c>
      <c r="AO26" s="122"/>
      <c r="AP26" s="122"/>
      <c r="AQ26" s="122"/>
      <c r="AR26" s="122"/>
      <c r="AS26" s="122"/>
      <c r="AT26" s="122"/>
      <c r="AU26" s="122"/>
      <c r="AV26" s="122"/>
      <c r="AW26" s="122"/>
      <c r="AX26" s="122"/>
      <c r="AY26" s="122"/>
      <c r="AZ26" s="124"/>
      <c r="BA26" s="333" t="str">
        <f t="shared" si="1"/>
        <v/>
      </c>
      <c r="BB26" s="333" t="str">
        <f t="shared" si="5"/>
        <v/>
      </c>
      <c r="BC26" s="333" t="str">
        <f>S110</f>
        <v/>
      </c>
    </row>
    <row r="27" spans="1:56" ht="26.45" customHeight="1" x14ac:dyDescent="0.25">
      <c r="A27" s="1278"/>
      <c r="B27" s="1255"/>
      <c r="C27" s="1255"/>
      <c r="D27" s="1255"/>
      <c r="E27" s="1255"/>
      <c r="F27" s="1255"/>
      <c r="G27" s="1255"/>
      <c r="H27" s="1255"/>
      <c r="I27" s="1255"/>
      <c r="J27" s="1255"/>
      <c r="K27" s="1255"/>
      <c r="L27" s="1255"/>
      <c r="M27" s="1255"/>
      <c r="N27" s="1255"/>
      <c r="O27" s="1255"/>
      <c r="P27" s="1255"/>
      <c r="Q27" s="1285"/>
      <c r="R27" s="534" t="s">
        <v>752</v>
      </c>
      <c r="S27" s="380"/>
      <c r="T27" s="380"/>
      <c r="U27" s="380"/>
      <c r="V27" s="380"/>
      <c r="W27" s="380"/>
      <c r="X27" s="380"/>
      <c r="Y27" s="380"/>
      <c r="Z27" s="380"/>
      <c r="AA27" s="380"/>
      <c r="AB27" s="380"/>
      <c r="AC27" s="380"/>
      <c r="AD27" s="385"/>
      <c r="AE27" s="370"/>
      <c r="AF27" s="1381"/>
      <c r="AG27" s="1381"/>
      <c r="AH27" s="122"/>
      <c r="AI27" s="122"/>
      <c r="AJ27" s="122"/>
      <c r="AK27" s="122"/>
      <c r="AL27" s="122"/>
      <c r="AM27" s="122"/>
      <c r="AN27" s="122"/>
      <c r="AO27" s="122"/>
      <c r="AP27" s="122"/>
      <c r="AQ27" s="122"/>
      <c r="AR27" s="122"/>
      <c r="AS27" s="122"/>
      <c r="AT27" s="122"/>
      <c r="AU27" s="122"/>
      <c r="AV27" s="122"/>
      <c r="AW27" s="122"/>
      <c r="AX27" s="122"/>
      <c r="AY27" s="122"/>
      <c r="AZ27" s="124"/>
      <c r="BA27" s="333" t="str">
        <f t="shared" si="1"/>
        <v/>
      </c>
      <c r="BB27" s="333" t="str">
        <f t="shared" si="5"/>
        <v/>
      </c>
      <c r="BC27" s="333" t="str">
        <f>S111</f>
        <v/>
      </c>
    </row>
    <row r="28" spans="1:56" ht="26.45" customHeight="1" x14ac:dyDescent="0.25">
      <c r="A28" s="1289"/>
      <c r="B28" s="1290"/>
      <c r="C28" s="1290"/>
      <c r="D28" s="1290"/>
      <c r="E28" s="1290"/>
      <c r="F28" s="1290"/>
      <c r="G28" s="1290"/>
      <c r="H28" s="1290"/>
      <c r="I28" s="1290"/>
      <c r="J28" s="1290"/>
      <c r="K28" s="1290"/>
      <c r="L28" s="1290"/>
      <c r="M28" s="1290"/>
      <c r="N28" s="1290"/>
      <c r="O28" s="1290"/>
      <c r="P28" s="1290"/>
      <c r="Q28" s="1291"/>
      <c r="R28" s="534" t="s">
        <v>752</v>
      </c>
      <c r="S28" s="380"/>
      <c r="T28" s="380"/>
      <c r="U28" s="380"/>
      <c r="V28" s="380"/>
      <c r="W28" s="380"/>
      <c r="X28" s="380"/>
      <c r="Y28" s="380"/>
      <c r="Z28" s="380"/>
      <c r="AA28" s="380"/>
      <c r="AB28" s="380"/>
      <c r="AC28" s="380"/>
      <c r="AD28" s="385"/>
      <c r="AE28" s="370"/>
      <c r="AF28" s="122"/>
      <c r="AG28" s="122"/>
      <c r="AH28" s="122"/>
      <c r="AI28" s="122"/>
      <c r="AJ28" s="122"/>
      <c r="AK28" s="122"/>
      <c r="AL28" s="122"/>
      <c r="AM28" s="122"/>
      <c r="AN28" s="122"/>
      <c r="AO28" s="122"/>
      <c r="AP28" s="122"/>
      <c r="AQ28" s="122"/>
      <c r="AR28" s="122"/>
      <c r="AS28" s="122"/>
      <c r="AT28" s="122"/>
      <c r="AU28" s="122"/>
      <c r="AV28" s="122"/>
      <c r="AW28" s="122"/>
      <c r="AX28" s="122"/>
      <c r="AY28" s="122"/>
      <c r="AZ28" s="124"/>
      <c r="BA28" s="333" t="str">
        <f t="shared" si="1"/>
        <v/>
      </c>
      <c r="BB28" s="333" t="str">
        <f t="shared" si="5"/>
        <v/>
      </c>
      <c r="BC28" s="333" t="str">
        <f>S119</f>
        <v/>
      </c>
    </row>
    <row r="29" spans="1:56" s="200" customFormat="1" ht="26.45" customHeight="1" x14ac:dyDescent="0.25">
      <c r="A29" s="1292" t="s">
        <v>638</v>
      </c>
      <c r="B29" s="1293"/>
      <c r="C29" s="1293"/>
      <c r="D29" s="1293"/>
      <c r="E29" s="1293"/>
      <c r="F29" s="1293"/>
      <c r="G29" s="1293"/>
      <c r="H29" s="1293"/>
      <c r="I29" s="1293"/>
      <c r="J29" s="1293"/>
      <c r="K29" s="1293"/>
      <c r="L29" s="1293"/>
      <c r="M29" s="1293"/>
      <c r="N29" s="1293"/>
      <c r="O29" s="1293"/>
      <c r="P29" s="1293"/>
      <c r="Q29" s="1294"/>
      <c r="R29" s="534" t="s">
        <v>752</v>
      </c>
      <c r="S29" s="382"/>
      <c r="T29" s="382"/>
      <c r="U29" s="382"/>
      <c r="V29" s="382"/>
      <c r="W29" s="378"/>
      <c r="X29" s="380"/>
      <c r="Y29" s="380"/>
      <c r="Z29" s="380"/>
      <c r="AA29" s="380"/>
      <c r="AB29" s="380"/>
      <c r="AC29" s="380"/>
      <c r="AD29" s="385"/>
      <c r="AE29" s="379"/>
      <c r="AF29" s="124"/>
      <c r="AG29" s="124"/>
      <c r="AH29" s="124"/>
      <c r="AI29" s="124"/>
      <c r="AJ29" s="124"/>
      <c r="AK29" s="124"/>
      <c r="AL29" s="124"/>
      <c r="AM29" s="124"/>
      <c r="AN29" s="124"/>
      <c r="AO29" s="124"/>
      <c r="AP29" s="124"/>
      <c r="AQ29" s="124"/>
      <c r="AR29" s="124"/>
      <c r="AS29" s="124"/>
      <c r="AT29" s="124"/>
      <c r="AU29" s="124"/>
      <c r="AV29" s="124"/>
      <c r="AW29" s="124"/>
      <c r="AX29" s="124"/>
      <c r="AY29" s="124"/>
      <c r="AZ29" s="124"/>
      <c r="BA29" s="333" t="str">
        <f t="shared" si="1"/>
        <v/>
      </c>
      <c r="BB29" s="333" t="str">
        <f t="shared" si="5"/>
        <v/>
      </c>
      <c r="BC29" s="333" t="str">
        <f>S120</f>
        <v/>
      </c>
    </row>
    <row r="30" spans="1:56" s="200" customFormat="1" ht="26.45" customHeight="1" x14ac:dyDescent="0.25">
      <c r="A30" s="1372"/>
      <c r="B30" s="1373"/>
      <c r="C30" s="1373"/>
      <c r="D30" s="1373"/>
      <c r="E30" s="1373"/>
      <c r="F30" s="1373"/>
      <c r="G30" s="1373"/>
      <c r="H30" s="1373"/>
      <c r="I30" s="1373"/>
      <c r="J30" s="1373"/>
      <c r="K30" s="1373"/>
      <c r="L30" s="1373"/>
      <c r="M30" s="1373"/>
      <c r="N30" s="1373"/>
      <c r="O30" s="1373"/>
      <c r="P30" s="1373"/>
      <c r="Q30" s="1374"/>
      <c r="R30" s="534" t="s">
        <v>752</v>
      </c>
      <c r="S30" s="386" t="str">
        <f>IF(ISBLANK(A30),"",A30)</f>
        <v/>
      </c>
      <c r="T30" s="354" t="s">
        <v>194</v>
      </c>
      <c r="U30" s="380"/>
      <c r="V30" s="380"/>
      <c r="W30" s="380"/>
      <c r="X30" s="380"/>
      <c r="Y30" s="380"/>
      <c r="Z30" s="380"/>
      <c r="AA30" s="380"/>
      <c r="AB30" s="380"/>
      <c r="AC30" s="380"/>
      <c r="AD30" s="385"/>
      <c r="AE30" s="379"/>
      <c r="AF30" s="124"/>
      <c r="AG30" s="124"/>
      <c r="AH30" s="124"/>
      <c r="AI30" s="124"/>
      <c r="AJ30" s="124"/>
      <c r="AK30" s="124"/>
      <c r="AL30" s="124"/>
      <c r="AM30" s="124"/>
      <c r="AN30" s="124"/>
      <c r="AO30" s="124"/>
      <c r="AP30" s="124"/>
      <c r="AQ30" s="124"/>
      <c r="AR30" s="124"/>
      <c r="AS30" s="124"/>
      <c r="AT30" s="124"/>
      <c r="AU30" s="124"/>
      <c r="AV30" s="124"/>
      <c r="AW30" s="124"/>
      <c r="AX30" s="124"/>
      <c r="AY30" s="124"/>
      <c r="AZ30" s="124"/>
      <c r="BA30" s="356" t="str">
        <f t="shared" si="1"/>
        <v/>
      </c>
      <c r="BB30" s="356" t="str">
        <f t="shared" ref="BB30:BB38" si="6">IF(BC30="","",$Q$135)</f>
        <v/>
      </c>
      <c r="BC30" s="356" t="str">
        <f>S150</f>
        <v/>
      </c>
      <c r="BD30" s="195" t="s">
        <v>639</v>
      </c>
    </row>
    <row r="31" spans="1:56" ht="26.45" customHeight="1" thickBot="1" x14ac:dyDescent="0.3">
      <c r="A31" s="1254"/>
      <c r="B31" s="1255"/>
      <c r="C31" s="1255"/>
      <c r="D31" s="1255"/>
      <c r="E31" s="1255"/>
      <c r="F31" s="1255"/>
      <c r="G31" s="1255"/>
      <c r="H31" s="1255"/>
      <c r="I31" s="1255"/>
      <c r="J31" s="1255"/>
      <c r="K31" s="1255"/>
      <c r="L31" s="1255"/>
      <c r="M31" s="1255"/>
      <c r="N31" s="1255"/>
      <c r="O31" s="1255"/>
      <c r="P31" s="1255"/>
      <c r="Q31" s="1285"/>
      <c r="R31" s="534" t="s">
        <v>752</v>
      </c>
      <c r="S31" s="380"/>
      <c r="T31" s="354"/>
      <c r="U31" s="380"/>
      <c r="V31" s="380"/>
      <c r="W31" s="380"/>
      <c r="X31" s="380"/>
      <c r="Y31" s="380"/>
      <c r="Z31" s="380"/>
      <c r="AA31" s="380"/>
      <c r="AB31" s="380"/>
      <c r="AC31" s="380"/>
      <c r="AD31" s="385"/>
      <c r="AE31" s="370"/>
      <c r="AF31" s="122"/>
      <c r="AG31" s="122"/>
      <c r="AH31" s="122"/>
      <c r="AI31" s="122"/>
      <c r="AJ31" s="122"/>
      <c r="AK31" s="122"/>
      <c r="AL31" s="122"/>
      <c r="AM31" s="122"/>
      <c r="AN31" s="122"/>
      <c r="AO31" s="122"/>
      <c r="AP31" s="122"/>
      <c r="AQ31" s="122"/>
      <c r="AR31" s="122"/>
      <c r="AS31" s="122"/>
      <c r="AT31" s="122"/>
      <c r="AU31" s="122"/>
      <c r="AV31" s="122"/>
      <c r="AW31" s="122"/>
      <c r="AX31" s="122"/>
      <c r="AY31" s="122"/>
      <c r="AZ31" s="124"/>
      <c r="BA31" s="356" t="str">
        <f t="shared" si="1"/>
        <v/>
      </c>
      <c r="BB31" s="356" t="str">
        <f t="shared" si="6"/>
        <v/>
      </c>
      <c r="BC31" s="356" t="str">
        <f>T150</f>
        <v/>
      </c>
    </row>
    <row r="32" spans="1:56" ht="25.9" customHeight="1" x14ac:dyDescent="0.25">
      <c r="A32" s="1260" t="s">
        <v>640</v>
      </c>
      <c r="B32" s="1261"/>
      <c r="C32" s="1261"/>
      <c r="D32" s="1261"/>
      <c r="E32" s="1261"/>
      <c r="F32" s="1261"/>
      <c r="G32" s="1261"/>
      <c r="H32" s="1261"/>
      <c r="I32" s="1261"/>
      <c r="J32" s="1261"/>
      <c r="K32" s="1261"/>
      <c r="L32" s="1261"/>
      <c r="M32" s="1261"/>
      <c r="N32" s="1261"/>
      <c r="O32" s="1261"/>
      <c r="P32" s="1261"/>
      <c r="Q32" s="1262"/>
      <c r="R32" s="534" t="s">
        <v>752</v>
      </c>
      <c r="S32" s="382" t="s">
        <v>641</v>
      </c>
      <c r="T32" s="378"/>
      <c r="U32" s="378"/>
      <c r="V32" s="378"/>
      <c r="W32" s="380"/>
      <c r="X32" s="380"/>
      <c r="Y32" s="380"/>
      <c r="Z32" s="380"/>
      <c r="AA32" s="380"/>
      <c r="AB32" s="380"/>
      <c r="AC32" s="380"/>
      <c r="AD32" s="385"/>
      <c r="AE32" s="370"/>
      <c r="AF32" s="122"/>
      <c r="AG32" s="122"/>
      <c r="AH32" s="122"/>
      <c r="AI32" s="122"/>
      <c r="AJ32" s="122"/>
      <c r="AK32" s="122"/>
      <c r="AL32" s="122"/>
      <c r="AM32" s="122"/>
      <c r="AN32" s="122"/>
      <c r="AO32" s="122"/>
      <c r="AP32" s="122"/>
      <c r="AQ32" s="122"/>
      <c r="AR32" s="122"/>
      <c r="AS32" s="122"/>
      <c r="AT32" s="122"/>
      <c r="AU32" s="122"/>
      <c r="AV32" s="122"/>
      <c r="AW32" s="122"/>
      <c r="AX32" s="122"/>
      <c r="AY32" s="122"/>
      <c r="AZ32" s="124"/>
      <c r="BA32" s="356" t="str">
        <f t="shared" si="1"/>
        <v/>
      </c>
      <c r="BB32" s="356" t="str">
        <f t="shared" si="6"/>
        <v/>
      </c>
      <c r="BC32" s="356" t="str">
        <f>U150</f>
        <v/>
      </c>
    </row>
    <row r="33" spans="1:56" ht="25.9" customHeight="1" x14ac:dyDescent="0.25">
      <c r="A33" s="1295" t="s">
        <v>642</v>
      </c>
      <c r="B33" s="1296"/>
      <c r="C33" s="1296"/>
      <c r="D33" s="1296"/>
      <c r="E33" s="1296"/>
      <c r="F33" s="1296"/>
      <c r="G33" s="1296"/>
      <c r="H33" s="1296"/>
      <c r="I33" s="1296"/>
      <c r="J33" s="1296"/>
      <c r="K33" s="1296"/>
      <c r="L33" s="1297"/>
      <c r="M33" s="1375"/>
      <c r="N33" s="1375"/>
      <c r="O33" s="1375"/>
      <c r="P33" s="1375"/>
      <c r="Q33" s="1376"/>
      <c r="R33" s="534" t="s">
        <v>752</v>
      </c>
      <c r="S33" s="387" t="str">
        <f>IF(ISBLANK(M33),"",VLOOKUP(M33,VImpact,2,FALSE))</f>
        <v/>
      </c>
      <c r="T33" s="151" t="s">
        <v>643</v>
      </c>
      <c r="U33" s="380"/>
      <c r="V33" s="380"/>
      <c r="W33" s="380"/>
      <c r="X33" s="380"/>
      <c r="Y33" s="380"/>
      <c r="Z33" s="380"/>
      <c r="AA33" s="380"/>
      <c r="AB33" s="380"/>
      <c r="AC33" s="380"/>
      <c r="AD33" s="385"/>
      <c r="AE33" s="370"/>
      <c r="AF33" s="122"/>
      <c r="AG33" s="122"/>
      <c r="AH33" s="122"/>
      <c r="AI33" s="122"/>
      <c r="AJ33" s="122"/>
      <c r="AK33" s="122"/>
      <c r="AL33" s="122"/>
      <c r="AM33" s="122"/>
      <c r="AN33" s="122"/>
      <c r="AO33" s="122"/>
      <c r="AP33" s="122"/>
      <c r="AQ33" s="122"/>
      <c r="AR33" s="122"/>
      <c r="AS33" s="122"/>
      <c r="AT33" s="122"/>
      <c r="AU33" s="122"/>
      <c r="AV33" s="122"/>
      <c r="AW33" s="122"/>
      <c r="AX33" s="122"/>
      <c r="AY33" s="122"/>
      <c r="AZ33" s="124"/>
      <c r="BA33" s="356" t="str">
        <f t="shared" si="1"/>
        <v/>
      </c>
      <c r="BB33" s="356" t="str">
        <f t="shared" si="6"/>
        <v/>
      </c>
      <c r="BC33" s="356" t="str">
        <f>V150</f>
        <v/>
      </c>
    </row>
    <row r="34" spans="1:56" ht="25.9" customHeight="1" x14ac:dyDescent="0.25">
      <c r="A34" s="1269" t="s">
        <v>644</v>
      </c>
      <c r="B34" s="1270"/>
      <c r="C34" s="1270"/>
      <c r="D34" s="1270"/>
      <c r="E34" s="1270"/>
      <c r="F34" s="1270"/>
      <c r="G34" s="1270"/>
      <c r="H34" s="1270"/>
      <c r="I34" s="1270"/>
      <c r="J34" s="1270"/>
      <c r="K34" s="1270"/>
      <c r="L34" s="1271"/>
      <c r="M34" s="1375"/>
      <c r="N34" s="1375"/>
      <c r="O34" s="1375"/>
      <c r="P34" s="1375"/>
      <c r="Q34" s="1376"/>
      <c r="R34" s="534" t="s">
        <v>752</v>
      </c>
      <c r="S34" s="387" t="str">
        <f>IF(ISBLANK(M34),"",VLOOKUP(M34,VEvidence,2,FALSE))</f>
        <v/>
      </c>
      <c r="T34" s="233" t="s">
        <v>645</v>
      </c>
      <c r="U34" s="380"/>
      <c r="V34" s="380"/>
      <c r="W34" s="380"/>
      <c r="X34" s="382"/>
      <c r="Y34" s="382"/>
      <c r="Z34" s="382"/>
      <c r="AA34" s="380"/>
      <c r="AB34" s="380"/>
      <c r="AC34" s="380"/>
      <c r="AD34" s="385"/>
      <c r="AE34" s="370"/>
      <c r="AF34" s="122"/>
      <c r="AG34" s="122"/>
      <c r="AH34" s="122"/>
      <c r="AI34" s="122"/>
      <c r="AJ34" s="122"/>
      <c r="AK34" s="122"/>
      <c r="AL34" s="122"/>
      <c r="AM34" s="122"/>
      <c r="AN34" s="122"/>
      <c r="AO34" s="122"/>
      <c r="AP34" s="122"/>
      <c r="AQ34" s="122"/>
      <c r="AR34" s="122"/>
      <c r="AS34" s="122"/>
      <c r="AT34" s="122"/>
      <c r="AU34" s="122"/>
      <c r="AV34" s="122"/>
      <c r="AW34" s="122"/>
      <c r="AX34" s="122"/>
      <c r="AY34" s="122"/>
      <c r="AZ34" s="124"/>
      <c r="BA34" s="356" t="str">
        <f t="shared" si="1"/>
        <v/>
      </c>
      <c r="BB34" s="356" t="str">
        <f t="shared" si="6"/>
        <v/>
      </c>
      <c r="BC34" s="356" t="str">
        <f>S152</f>
        <v/>
      </c>
    </row>
    <row r="35" spans="1:56" ht="25.9" customHeight="1" x14ac:dyDescent="0.25">
      <c r="A35" s="1275" t="s">
        <v>646</v>
      </c>
      <c r="B35" s="1276"/>
      <c r="C35" s="1276"/>
      <c r="D35" s="1276"/>
      <c r="E35" s="1276"/>
      <c r="F35" s="1276"/>
      <c r="G35" s="1276"/>
      <c r="H35" s="1276"/>
      <c r="I35" s="1276"/>
      <c r="J35" s="1276"/>
      <c r="K35" s="1276"/>
      <c r="L35" s="1276"/>
      <c r="M35" s="1370"/>
      <c r="N35" s="1370"/>
      <c r="O35" s="1370"/>
      <c r="P35" s="1370"/>
      <c r="Q35" s="1371"/>
      <c r="R35" s="534" t="s">
        <v>752</v>
      </c>
      <c r="S35" s="386" t="str">
        <f>IF(ISBLANK(A36),"",A36)</f>
        <v/>
      </c>
      <c r="T35" s="354" t="s">
        <v>193</v>
      </c>
      <c r="U35" s="380"/>
      <c r="V35" s="380"/>
      <c r="W35" s="380"/>
      <c r="X35" s="380"/>
      <c r="Y35" s="380"/>
      <c r="Z35" s="380"/>
      <c r="AA35" s="388"/>
      <c r="AB35" s="388"/>
      <c r="AC35" s="388"/>
      <c r="AD35" s="385"/>
      <c r="AE35" s="370"/>
      <c r="AF35" s="122"/>
      <c r="AG35" s="122"/>
      <c r="AH35" s="122"/>
      <c r="AI35" s="122"/>
      <c r="AJ35" s="122"/>
      <c r="AK35" s="122"/>
      <c r="AL35" s="122"/>
      <c r="AM35" s="122"/>
      <c r="AN35" s="122"/>
      <c r="AO35" s="122"/>
      <c r="AP35" s="122"/>
      <c r="AQ35" s="122"/>
      <c r="AR35" s="122"/>
      <c r="AS35" s="122"/>
      <c r="AT35" s="122"/>
      <c r="AU35" s="122"/>
      <c r="AV35" s="122"/>
      <c r="AW35" s="122"/>
      <c r="AX35" s="122"/>
      <c r="AY35" s="122"/>
      <c r="AZ35" s="124"/>
      <c r="BA35" s="356" t="str">
        <f t="shared" si="1"/>
        <v/>
      </c>
      <c r="BB35" s="356" t="str">
        <f t="shared" si="6"/>
        <v/>
      </c>
      <c r="BC35" s="356" t="str">
        <f>S153</f>
        <v/>
      </c>
    </row>
    <row r="36" spans="1:56" ht="25.9" customHeight="1" x14ac:dyDescent="0.25">
      <c r="A36" s="1372"/>
      <c r="B36" s="1373"/>
      <c r="C36" s="1373"/>
      <c r="D36" s="1373"/>
      <c r="E36" s="1373"/>
      <c r="F36" s="1373"/>
      <c r="G36" s="1373"/>
      <c r="H36" s="1373"/>
      <c r="I36" s="1373"/>
      <c r="J36" s="1373"/>
      <c r="K36" s="1373"/>
      <c r="L36" s="1373"/>
      <c r="M36" s="1373"/>
      <c r="N36" s="1373"/>
      <c r="O36" s="1373"/>
      <c r="P36" s="1373"/>
      <c r="Q36" s="1374"/>
      <c r="R36" s="534" t="s">
        <v>752</v>
      </c>
      <c r="S36" s="380"/>
      <c r="T36" s="389"/>
      <c r="U36" s="380"/>
      <c r="V36" s="380"/>
      <c r="W36" s="380"/>
      <c r="X36" s="380"/>
      <c r="Y36" s="380"/>
      <c r="Z36" s="380"/>
      <c r="AA36" s="388"/>
      <c r="AB36" s="388"/>
      <c r="AC36" s="388"/>
      <c r="AD36" s="385"/>
      <c r="AE36" s="370"/>
      <c r="AF36" s="122"/>
      <c r="AG36" s="122"/>
      <c r="AH36" s="122"/>
      <c r="AI36" s="122"/>
      <c r="AJ36" s="122"/>
      <c r="AK36" s="122"/>
      <c r="AL36" s="122"/>
      <c r="AM36" s="122"/>
      <c r="AN36" s="122"/>
      <c r="AO36" s="122"/>
      <c r="AP36" s="122"/>
      <c r="AQ36" s="122"/>
      <c r="AR36" s="122"/>
      <c r="AS36" s="122"/>
      <c r="AT36" s="122"/>
      <c r="AU36" s="122"/>
      <c r="AV36" s="122"/>
      <c r="AW36" s="122"/>
      <c r="AX36" s="122"/>
      <c r="AY36" s="122"/>
      <c r="AZ36" s="124"/>
      <c r="BA36" s="356" t="str">
        <f t="shared" si="1"/>
        <v/>
      </c>
      <c r="BB36" s="356" t="str">
        <f t="shared" si="6"/>
        <v/>
      </c>
      <c r="BC36" s="356" t="str">
        <f>S154</f>
        <v/>
      </c>
    </row>
    <row r="37" spans="1:56" ht="25.9" customHeight="1" x14ac:dyDescent="0.25">
      <c r="A37" s="1289"/>
      <c r="B37" s="1290"/>
      <c r="C37" s="1290"/>
      <c r="D37" s="1290"/>
      <c r="E37" s="1290"/>
      <c r="F37" s="1290"/>
      <c r="G37" s="1290"/>
      <c r="H37" s="1290"/>
      <c r="I37" s="1290"/>
      <c r="J37" s="1290"/>
      <c r="K37" s="1290"/>
      <c r="L37" s="1290"/>
      <c r="M37" s="1290"/>
      <c r="N37" s="1290"/>
      <c r="O37" s="1290"/>
      <c r="P37" s="1290"/>
      <c r="Q37" s="1291"/>
      <c r="R37" s="534" t="s">
        <v>752</v>
      </c>
      <c r="S37" s="380"/>
      <c r="T37" s="389"/>
      <c r="U37" s="380"/>
      <c r="V37" s="380"/>
      <c r="W37" s="380"/>
      <c r="X37" s="390"/>
      <c r="Y37" s="390"/>
      <c r="Z37" s="390"/>
      <c r="AA37" s="388"/>
      <c r="AB37" s="388"/>
      <c r="AC37" s="388"/>
      <c r="AD37" s="385"/>
      <c r="AE37" s="370"/>
      <c r="AF37" s="122"/>
      <c r="AG37" s="122"/>
      <c r="AH37" s="122"/>
      <c r="AI37" s="122"/>
      <c r="AJ37" s="122"/>
      <c r="AK37" s="122"/>
      <c r="AL37" s="122"/>
      <c r="AM37" s="122"/>
      <c r="AN37" s="122"/>
      <c r="AO37" s="122"/>
      <c r="AP37" s="122"/>
      <c r="AQ37" s="122"/>
      <c r="AR37" s="122"/>
      <c r="AS37" s="122"/>
      <c r="AT37" s="122"/>
      <c r="AU37" s="122"/>
      <c r="AV37" s="122"/>
      <c r="AW37" s="122"/>
      <c r="AX37" s="122"/>
      <c r="AY37" s="122"/>
      <c r="AZ37" s="124"/>
      <c r="BA37" s="356" t="str">
        <f t="shared" si="1"/>
        <v/>
      </c>
      <c r="BB37" s="356" t="str">
        <f t="shared" si="6"/>
        <v/>
      </c>
      <c r="BC37" s="356" t="str">
        <f>S162</f>
        <v/>
      </c>
    </row>
    <row r="38" spans="1:56" ht="25.9" customHeight="1" x14ac:dyDescent="0.25">
      <c r="A38" s="1282" t="s">
        <v>647</v>
      </c>
      <c r="B38" s="1283"/>
      <c r="C38" s="1283"/>
      <c r="D38" s="1283"/>
      <c r="E38" s="1283"/>
      <c r="F38" s="1283"/>
      <c r="G38" s="1283"/>
      <c r="H38" s="1283"/>
      <c r="I38" s="1283"/>
      <c r="J38" s="1283"/>
      <c r="K38" s="1283"/>
      <c r="L38" s="1283"/>
      <c r="M38" s="1283"/>
      <c r="N38" s="1283"/>
      <c r="O38" s="1283"/>
      <c r="P38" s="1283"/>
      <c r="Q38" s="1284"/>
      <c r="R38" s="534" t="s">
        <v>752</v>
      </c>
      <c r="S38" s="386" t="str">
        <f>IF(ISBLANK(A39),"",A39)</f>
        <v/>
      </c>
      <c r="T38" s="389" t="s">
        <v>584</v>
      </c>
      <c r="U38" s="380"/>
      <c r="V38" s="380"/>
      <c r="W38" s="382"/>
      <c r="X38" s="183"/>
      <c r="Y38" s="183"/>
      <c r="Z38" s="183"/>
      <c r="AA38" s="378"/>
      <c r="AB38" s="378"/>
      <c r="AC38" s="378"/>
      <c r="AD38" s="385"/>
      <c r="AE38" s="379"/>
      <c r="AF38" s="124"/>
      <c r="AG38" s="124"/>
      <c r="AH38" s="124"/>
      <c r="AI38" s="124"/>
      <c r="AJ38" s="124"/>
      <c r="AK38" s="124"/>
      <c r="AL38" s="124"/>
      <c r="AM38" s="124"/>
      <c r="AN38" s="124"/>
      <c r="AO38" s="124"/>
      <c r="AP38" s="124"/>
      <c r="AQ38" s="124"/>
      <c r="AR38" s="124"/>
      <c r="AS38" s="124"/>
      <c r="AT38" s="124"/>
      <c r="AU38" s="124"/>
      <c r="AV38" s="124"/>
      <c r="AW38" s="124"/>
      <c r="AX38" s="124"/>
      <c r="AY38" s="122"/>
      <c r="AZ38" s="124"/>
      <c r="BA38" s="356" t="str">
        <f t="shared" si="1"/>
        <v/>
      </c>
      <c r="BB38" s="356" t="str">
        <f t="shared" si="6"/>
        <v/>
      </c>
      <c r="BC38" s="356" t="str">
        <f>S163</f>
        <v/>
      </c>
    </row>
    <row r="39" spans="1:56" ht="25.9" customHeight="1" x14ac:dyDescent="0.25">
      <c r="A39" s="1372"/>
      <c r="B39" s="1373"/>
      <c r="C39" s="1373"/>
      <c r="D39" s="1373"/>
      <c r="E39" s="1373"/>
      <c r="F39" s="1373"/>
      <c r="G39" s="1373"/>
      <c r="H39" s="1373"/>
      <c r="I39" s="1373"/>
      <c r="J39" s="1373"/>
      <c r="K39" s="1373"/>
      <c r="L39" s="1373"/>
      <c r="M39" s="1373"/>
      <c r="N39" s="1373"/>
      <c r="O39" s="1373"/>
      <c r="P39" s="1373"/>
      <c r="Q39" s="1374"/>
      <c r="R39" s="534" t="s">
        <v>752</v>
      </c>
      <c r="U39" s="380"/>
      <c r="V39" s="380"/>
      <c r="W39" s="380"/>
      <c r="X39" s="183"/>
      <c r="Y39" s="183"/>
      <c r="Z39" s="183"/>
      <c r="AA39" s="380"/>
      <c r="AB39" s="380"/>
      <c r="AC39" s="380"/>
      <c r="AD39" s="124"/>
      <c r="AE39" s="370"/>
      <c r="AF39" s="122"/>
      <c r="AG39" s="122"/>
      <c r="AH39" s="122"/>
      <c r="AI39" s="122"/>
      <c r="AJ39" s="122"/>
      <c r="AK39" s="122"/>
      <c r="AL39" s="122"/>
      <c r="AM39" s="122"/>
      <c r="AN39" s="122"/>
      <c r="AO39" s="122"/>
      <c r="AP39" s="122"/>
      <c r="AQ39" s="122"/>
      <c r="AR39" s="122"/>
      <c r="AS39" s="122"/>
      <c r="AT39" s="122"/>
      <c r="AU39" s="122"/>
      <c r="AV39" s="122"/>
      <c r="AW39" s="122"/>
      <c r="AX39" s="122"/>
      <c r="AY39" s="122"/>
      <c r="AZ39" s="124"/>
      <c r="BA39" s="333" t="str">
        <f t="shared" si="1"/>
        <v/>
      </c>
      <c r="BB39" s="333" t="str">
        <f t="shared" ref="BB39:BB47" si="7">IF(BC39="","",$Q$178)</f>
        <v/>
      </c>
      <c r="BC39" s="333" t="str">
        <f>S193</f>
        <v/>
      </c>
      <c r="BD39" s="195" t="s">
        <v>648</v>
      </c>
    </row>
    <row r="40" spans="1:56" ht="25.9" customHeight="1" thickBot="1" x14ac:dyDescent="0.25">
      <c r="A40" s="1289"/>
      <c r="B40" s="1290"/>
      <c r="C40" s="1290"/>
      <c r="D40" s="1290"/>
      <c r="E40" s="1290"/>
      <c r="F40" s="1290"/>
      <c r="G40" s="1290"/>
      <c r="H40" s="1290"/>
      <c r="I40" s="1290"/>
      <c r="J40" s="1290"/>
      <c r="K40" s="1290"/>
      <c r="L40" s="1290"/>
      <c r="M40" s="1290"/>
      <c r="N40" s="1290"/>
      <c r="O40" s="1290"/>
      <c r="P40" s="1290"/>
      <c r="Q40" s="1291"/>
      <c r="R40" s="534" t="s">
        <v>752</v>
      </c>
      <c r="S40" s="380"/>
      <c r="T40" s="380"/>
      <c r="U40" s="380"/>
      <c r="V40" s="380"/>
      <c r="W40" s="380"/>
      <c r="X40" s="183"/>
      <c r="Y40" s="183"/>
      <c r="Z40" s="183"/>
      <c r="AA40" s="380"/>
      <c r="AB40" s="380"/>
      <c r="AC40" s="380"/>
      <c r="AD40" s="122"/>
      <c r="AE40" s="391"/>
      <c r="AF40" s="122"/>
      <c r="AG40" s="122"/>
      <c r="AH40" s="122"/>
      <c r="AI40" s="122"/>
      <c r="AJ40" s="122"/>
      <c r="AK40" s="122"/>
      <c r="AL40" s="122"/>
      <c r="AM40" s="122"/>
      <c r="AN40" s="122"/>
      <c r="AO40" s="122"/>
      <c r="AP40" s="122"/>
      <c r="AQ40" s="122"/>
      <c r="AR40" s="122"/>
      <c r="AS40" s="122"/>
      <c r="AT40" s="122"/>
      <c r="AU40" s="122"/>
      <c r="AV40" s="122"/>
      <c r="AW40" s="122"/>
      <c r="AX40" s="122"/>
      <c r="AY40" s="122"/>
      <c r="AZ40" s="124"/>
      <c r="BA40" s="333" t="str">
        <f t="shared" si="1"/>
        <v/>
      </c>
      <c r="BB40" s="333" t="str">
        <f t="shared" si="7"/>
        <v/>
      </c>
      <c r="BC40" s="333" t="str">
        <f>T193</f>
        <v/>
      </c>
      <c r="BD40" s="200"/>
    </row>
    <row r="41" spans="1:56" ht="25.9" customHeight="1" x14ac:dyDescent="0.2">
      <c r="A41" s="1251" t="s">
        <v>649</v>
      </c>
      <c r="B41" s="1252"/>
      <c r="C41" s="1252"/>
      <c r="D41" s="1252"/>
      <c r="E41" s="1252"/>
      <c r="F41" s="1252"/>
      <c r="G41" s="1252"/>
      <c r="H41" s="1252"/>
      <c r="I41" s="1252"/>
      <c r="J41" s="1252"/>
      <c r="K41" s="1252"/>
      <c r="L41" s="1252"/>
      <c r="M41" s="1252"/>
      <c r="N41" s="1252"/>
      <c r="O41" s="1252"/>
      <c r="P41" s="1252"/>
      <c r="Q41" s="1253"/>
      <c r="R41" s="534" t="s">
        <v>752</v>
      </c>
      <c r="S41" s="392" t="str">
        <f>IF(ISBLANK(A42),"",A42)</f>
        <v/>
      </c>
      <c r="T41" s="393" t="s">
        <v>650</v>
      </c>
      <c r="W41" s="390"/>
      <c r="X41" s="388"/>
      <c r="Y41" s="388"/>
      <c r="Z41" s="388"/>
      <c r="AA41" s="380"/>
      <c r="AB41" s="380"/>
      <c r="AC41" s="380"/>
      <c r="AD41" s="122"/>
      <c r="AE41" s="391"/>
      <c r="AF41" s="122"/>
      <c r="AG41" s="122"/>
      <c r="AH41" s="122"/>
      <c r="AI41" s="122"/>
      <c r="AJ41" s="122"/>
      <c r="AK41" s="122"/>
      <c r="AL41" s="122"/>
      <c r="AM41" s="122"/>
      <c r="AN41" s="122"/>
      <c r="AO41" s="122"/>
      <c r="AP41" s="122"/>
      <c r="AQ41" s="122"/>
      <c r="AR41" s="122"/>
      <c r="AS41" s="122"/>
      <c r="AT41" s="122"/>
      <c r="AU41" s="122"/>
      <c r="AV41" s="122"/>
      <c r="AW41" s="122"/>
      <c r="AX41" s="122"/>
      <c r="AY41" s="122"/>
      <c r="AZ41" s="124"/>
      <c r="BA41" s="333" t="str">
        <f t="shared" si="1"/>
        <v/>
      </c>
      <c r="BB41" s="333" t="str">
        <f t="shared" si="7"/>
        <v/>
      </c>
      <c r="BC41" s="333" t="str">
        <f>U193</f>
        <v/>
      </c>
    </row>
    <row r="42" spans="1:56" ht="25.9" customHeight="1" x14ac:dyDescent="0.2">
      <c r="A42" s="1278"/>
      <c r="B42" s="1255"/>
      <c r="C42" s="1255"/>
      <c r="D42" s="1255"/>
      <c r="E42" s="1255"/>
      <c r="F42" s="1255"/>
      <c r="G42" s="1255"/>
      <c r="H42" s="1255"/>
      <c r="I42" s="1255"/>
      <c r="J42" s="1255"/>
      <c r="K42" s="1255"/>
      <c r="L42" s="1255"/>
      <c r="M42" s="1255"/>
      <c r="N42" s="1255"/>
      <c r="O42" s="1255"/>
      <c r="P42" s="1255"/>
      <c r="Q42" s="1256"/>
      <c r="R42" s="534" t="s">
        <v>752</v>
      </c>
      <c r="W42" s="183"/>
      <c r="X42" s="394"/>
      <c r="Y42" s="394"/>
      <c r="Z42" s="394"/>
      <c r="AA42" s="382"/>
      <c r="AB42" s="382"/>
      <c r="AC42" s="382"/>
      <c r="AD42" s="124"/>
      <c r="AE42" s="391"/>
      <c r="AF42" s="124"/>
      <c r="AG42" s="124"/>
      <c r="AH42" s="124"/>
      <c r="AI42" s="124"/>
      <c r="AJ42" s="124"/>
      <c r="AK42" s="124"/>
      <c r="AL42" s="124"/>
      <c r="AM42" s="124"/>
      <c r="AN42" s="124"/>
      <c r="AO42" s="124"/>
      <c r="AP42" s="124"/>
      <c r="AQ42" s="124"/>
      <c r="AR42" s="124"/>
      <c r="AS42" s="124"/>
      <c r="AT42" s="124"/>
      <c r="AU42" s="124"/>
      <c r="AV42" s="124"/>
      <c r="AW42" s="124"/>
      <c r="AX42" s="124"/>
      <c r="AY42" s="122"/>
      <c r="AZ42" s="124"/>
      <c r="BA42" s="333" t="str">
        <f t="shared" si="1"/>
        <v/>
      </c>
      <c r="BB42" s="333" t="str">
        <f t="shared" si="7"/>
        <v/>
      </c>
      <c r="BC42" s="333" t="str">
        <f>V193</f>
        <v/>
      </c>
    </row>
    <row r="43" spans="1:56" s="352" customFormat="1" ht="25.9" customHeight="1" thickBot="1" x14ac:dyDescent="0.25">
      <c r="A43" s="1257"/>
      <c r="B43" s="1258"/>
      <c r="C43" s="1258"/>
      <c r="D43" s="1258"/>
      <c r="E43" s="1258"/>
      <c r="F43" s="1258"/>
      <c r="G43" s="1258"/>
      <c r="H43" s="1258"/>
      <c r="I43" s="1258"/>
      <c r="J43" s="1258"/>
      <c r="K43" s="1258"/>
      <c r="L43" s="1258"/>
      <c r="M43" s="1258"/>
      <c r="N43" s="1258"/>
      <c r="O43" s="1258"/>
      <c r="P43" s="1258"/>
      <c r="Q43" s="1259"/>
      <c r="R43" s="534" t="s">
        <v>752</v>
      </c>
      <c r="W43" s="183"/>
      <c r="X43" s="198"/>
      <c r="Y43" s="198"/>
      <c r="Z43" s="198"/>
      <c r="AA43" s="380"/>
      <c r="AB43" s="380"/>
      <c r="AC43" s="380"/>
      <c r="AD43" s="198"/>
      <c r="AE43" s="198"/>
      <c r="AF43" s="198"/>
      <c r="AG43" s="198"/>
      <c r="AH43" s="198"/>
      <c r="AI43" s="198"/>
      <c r="AJ43" s="198"/>
      <c r="AK43" s="198"/>
      <c r="AL43" s="198"/>
      <c r="AM43" s="198"/>
      <c r="AN43" s="198"/>
      <c r="AO43" s="198"/>
      <c r="AP43" s="198"/>
      <c r="AQ43" s="198"/>
      <c r="AR43" s="198"/>
      <c r="AS43" s="198"/>
      <c r="AT43" s="198"/>
      <c r="AU43" s="198"/>
      <c r="AV43" s="198"/>
      <c r="AW43" s="198"/>
      <c r="AX43" s="198"/>
      <c r="AY43" s="198"/>
      <c r="AZ43" s="124"/>
      <c r="BA43" s="333" t="str">
        <f t="shared" si="1"/>
        <v/>
      </c>
      <c r="BB43" s="333" t="str">
        <f t="shared" si="7"/>
        <v/>
      </c>
      <c r="BC43" s="333" t="str">
        <f>S195</f>
        <v/>
      </c>
      <c r="BD43" s="256"/>
    </row>
    <row r="44" spans="1:56" s="352" customFormat="1" ht="25.9" customHeight="1" x14ac:dyDescent="0.2">
      <c r="A44" s="1260" t="s">
        <v>651</v>
      </c>
      <c r="B44" s="1261"/>
      <c r="C44" s="1261"/>
      <c r="D44" s="1261"/>
      <c r="E44" s="1261"/>
      <c r="F44" s="1261"/>
      <c r="G44" s="1261"/>
      <c r="H44" s="1261"/>
      <c r="I44" s="1261"/>
      <c r="J44" s="1261"/>
      <c r="K44" s="1261"/>
      <c r="L44" s="1261"/>
      <c r="M44" s="1261"/>
      <c r="N44" s="1261"/>
      <c r="O44" s="1261"/>
      <c r="P44" s="1261"/>
      <c r="Q44" s="1262"/>
      <c r="R44" s="534" t="s">
        <v>752</v>
      </c>
      <c r="S44" s="395"/>
      <c r="T44" s="396"/>
      <c r="U44" s="390"/>
      <c r="V44" s="390"/>
      <c r="W44" s="183"/>
      <c r="X44" s="198"/>
      <c r="Y44" s="198"/>
      <c r="Z44" s="198"/>
      <c r="AA44" s="380"/>
      <c r="AB44" s="380"/>
      <c r="AC44" s="380"/>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24"/>
      <c r="BA44" s="333" t="str">
        <f t="shared" si="1"/>
        <v/>
      </c>
      <c r="BB44" s="333" t="str">
        <f t="shared" si="7"/>
        <v/>
      </c>
      <c r="BC44" s="333" t="str">
        <f>S196</f>
        <v/>
      </c>
      <c r="BD44" s="256"/>
    </row>
    <row r="45" spans="1:56" s="352" customFormat="1" ht="25.9" customHeight="1" x14ac:dyDescent="0.2">
      <c r="A45" s="1278"/>
      <c r="B45" s="1255"/>
      <c r="C45" s="1255"/>
      <c r="D45" s="1255"/>
      <c r="E45" s="1255"/>
      <c r="F45" s="1255"/>
      <c r="G45" s="1255"/>
      <c r="H45" s="1255"/>
      <c r="I45" s="1255"/>
      <c r="J45" s="1255"/>
      <c r="K45" s="1255"/>
      <c r="L45" s="1255"/>
      <c r="M45" s="1255"/>
      <c r="N45" s="1255"/>
      <c r="O45" s="1255"/>
      <c r="P45" s="1255"/>
      <c r="Q45" s="1256"/>
      <c r="R45" s="534" t="s">
        <v>752</v>
      </c>
      <c r="S45" s="397" t="str">
        <f>IF(ISBLANK(A45),"",CONCATENATE(S44,A45))</f>
        <v/>
      </c>
      <c r="T45" s="354" t="s">
        <v>195</v>
      </c>
      <c r="U45" s="183"/>
      <c r="V45" s="183"/>
      <c r="W45" s="394"/>
      <c r="X45" s="198"/>
      <c r="Y45" s="198"/>
      <c r="Z45" s="198"/>
      <c r="AA45" s="378"/>
      <c r="AB45" s="378"/>
      <c r="AC45" s="378"/>
      <c r="AD45" s="198"/>
      <c r="AE45" s="198"/>
      <c r="AF45" s="198"/>
      <c r="AG45" s="198"/>
      <c r="AH45" s="198"/>
      <c r="AI45" s="198"/>
      <c r="AJ45" s="198"/>
      <c r="AK45" s="198"/>
      <c r="AL45" s="198"/>
      <c r="AM45" s="198"/>
      <c r="AN45" s="198"/>
      <c r="AO45" s="198"/>
      <c r="AP45" s="198"/>
      <c r="AQ45" s="198"/>
      <c r="AR45" s="198"/>
      <c r="AS45" s="198"/>
      <c r="AT45" s="198"/>
      <c r="AU45" s="198"/>
      <c r="AV45" s="198"/>
      <c r="AW45" s="198"/>
      <c r="AX45" s="198"/>
      <c r="AY45" s="198"/>
      <c r="AZ45" s="124"/>
      <c r="BA45" s="333" t="str">
        <f t="shared" si="1"/>
        <v/>
      </c>
      <c r="BB45" s="333" t="str">
        <f t="shared" si="7"/>
        <v/>
      </c>
      <c r="BC45" s="333" t="str">
        <f>S197</f>
        <v/>
      </c>
      <c r="BD45" s="256"/>
    </row>
    <row r="46" spans="1:56" s="352" customFormat="1" ht="25.9" customHeight="1" thickBot="1" x14ac:dyDescent="0.25">
      <c r="A46" s="1257"/>
      <c r="B46" s="1258"/>
      <c r="C46" s="1258"/>
      <c r="D46" s="1258"/>
      <c r="E46" s="1258"/>
      <c r="F46" s="1258"/>
      <c r="G46" s="1258"/>
      <c r="H46" s="1258"/>
      <c r="I46" s="1258"/>
      <c r="J46" s="1258"/>
      <c r="K46" s="1258"/>
      <c r="L46" s="1258"/>
      <c r="M46" s="1258"/>
      <c r="N46" s="1258"/>
      <c r="O46" s="1258"/>
      <c r="P46" s="1258"/>
      <c r="Q46" s="1259"/>
      <c r="R46" s="534" t="s">
        <v>752</v>
      </c>
      <c r="S46" s="183"/>
      <c r="T46" s="183"/>
      <c r="U46" s="183"/>
      <c r="V46" s="183"/>
      <c r="W46" s="198"/>
      <c r="X46" s="198"/>
      <c r="Y46" s="198"/>
      <c r="Z46" s="198"/>
      <c r="AA46" s="390"/>
      <c r="AB46" s="390"/>
      <c r="AC46" s="390"/>
      <c r="AD46" s="198"/>
      <c r="AE46" s="198"/>
      <c r="AF46" s="198"/>
      <c r="AG46" s="198"/>
      <c r="AH46" s="198"/>
      <c r="AI46" s="198"/>
      <c r="AJ46" s="198"/>
      <c r="AK46" s="198"/>
      <c r="AL46" s="198"/>
      <c r="AM46" s="198"/>
      <c r="AN46" s="198"/>
      <c r="AO46" s="198"/>
      <c r="AP46" s="198"/>
      <c r="AQ46" s="198"/>
      <c r="AR46" s="198"/>
      <c r="AS46" s="198"/>
      <c r="AT46" s="198"/>
      <c r="AU46" s="198"/>
      <c r="AV46" s="198"/>
      <c r="AW46" s="198"/>
      <c r="AX46" s="198"/>
      <c r="AY46" s="198"/>
      <c r="AZ46" s="124"/>
      <c r="BA46" s="333" t="str">
        <f t="shared" si="1"/>
        <v/>
      </c>
      <c r="BB46" s="333" t="str">
        <f t="shared" si="7"/>
        <v/>
      </c>
      <c r="BC46" s="333" t="str">
        <f>S205</f>
        <v/>
      </c>
      <c r="BD46" s="256"/>
    </row>
    <row r="47" spans="1:56" s="352" customFormat="1" ht="25.15" customHeight="1" thickBot="1" x14ac:dyDescent="0.25">
      <c r="A47" s="1369" t="e">
        <f>$A$1</f>
        <v>#N/A</v>
      </c>
      <c r="B47" s="1369"/>
      <c r="C47" s="1369"/>
      <c r="D47" s="1369"/>
      <c r="E47" s="1369"/>
      <c r="F47" s="1369"/>
      <c r="G47" s="1369"/>
      <c r="H47" s="1369"/>
      <c r="I47" s="1369"/>
      <c r="J47" s="1369"/>
      <c r="K47" s="1369"/>
      <c r="L47" s="1369"/>
      <c r="M47" s="1369"/>
      <c r="N47" s="1369"/>
      <c r="O47" s="1369"/>
      <c r="P47" s="1369"/>
      <c r="Q47" s="1369"/>
      <c r="R47" s="534" t="s">
        <v>752</v>
      </c>
      <c r="S47" s="388"/>
      <c r="T47" s="388"/>
      <c r="U47" s="388"/>
      <c r="V47" s="388"/>
      <c r="W47" s="198"/>
      <c r="X47" s="349"/>
      <c r="Y47" s="349"/>
      <c r="Z47" s="349"/>
      <c r="AA47" s="398"/>
      <c r="AB47" s="398"/>
      <c r="AC47" s="398"/>
      <c r="AD47" s="198"/>
      <c r="AE47" s="198"/>
      <c r="AF47" s="198"/>
      <c r="AG47" s="198"/>
      <c r="AH47" s="198"/>
      <c r="AI47" s="198"/>
      <c r="AJ47" s="198"/>
      <c r="AK47" s="198"/>
      <c r="AL47" s="198"/>
      <c r="AM47" s="198"/>
      <c r="AN47" s="198"/>
      <c r="AO47" s="198"/>
      <c r="AP47" s="198"/>
      <c r="AQ47" s="198"/>
      <c r="AR47" s="198"/>
      <c r="AS47" s="198"/>
      <c r="AT47" s="198"/>
      <c r="AU47" s="198"/>
      <c r="AV47" s="198"/>
      <c r="AW47" s="198"/>
      <c r="AX47" s="198"/>
      <c r="AY47" s="198"/>
      <c r="AZ47" s="124"/>
      <c r="BA47" s="333" t="str">
        <f t="shared" si="1"/>
        <v/>
      </c>
      <c r="BB47" s="333" t="str">
        <f t="shared" si="7"/>
        <v/>
      </c>
      <c r="BC47" s="333" t="str">
        <f>S206</f>
        <v/>
      </c>
      <c r="BD47" s="200"/>
    </row>
    <row r="48" spans="1:56" s="352" customFormat="1" ht="25.15" customHeight="1" thickBot="1" x14ac:dyDescent="0.25">
      <c r="A48" s="1364" t="s">
        <v>84</v>
      </c>
      <c r="B48" s="1365"/>
      <c r="C48" s="1365"/>
      <c r="D48" s="1365"/>
      <c r="E48" s="1365"/>
      <c r="F48" s="1365"/>
      <c r="G48" s="1365"/>
      <c r="H48" s="1365"/>
      <c r="I48" s="1365"/>
      <c r="J48" s="1365"/>
      <c r="K48" s="1365"/>
      <c r="L48" s="1365"/>
      <c r="M48" s="1365"/>
      <c r="N48" s="1366" t="str">
        <f>$N$5</f>
        <v>2024 Report Year</v>
      </c>
      <c r="O48" s="1367"/>
      <c r="P48" s="1367"/>
      <c r="Q48" s="1368"/>
      <c r="R48" s="534" t="s">
        <v>752</v>
      </c>
      <c r="S48" s="394"/>
      <c r="T48" s="394"/>
      <c r="U48" s="394"/>
      <c r="V48" s="394"/>
      <c r="W48" s="198"/>
      <c r="X48" s="198"/>
      <c r="Y48" s="198"/>
      <c r="Z48" s="198"/>
      <c r="AA48" s="398"/>
      <c r="AB48" s="398"/>
      <c r="AC48" s="398"/>
      <c r="AD48" s="198"/>
      <c r="AE48" s="198"/>
      <c r="AF48" s="198"/>
      <c r="AG48" s="198"/>
      <c r="AH48" s="198"/>
      <c r="AI48" s="198"/>
      <c r="AJ48" s="198"/>
      <c r="AK48" s="198"/>
      <c r="AL48" s="198"/>
      <c r="AM48" s="198"/>
      <c r="AN48" s="198"/>
      <c r="AO48" s="198"/>
      <c r="AP48" s="198"/>
      <c r="AQ48" s="198"/>
      <c r="AR48" s="198"/>
      <c r="AS48" s="198"/>
      <c r="AT48" s="198"/>
      <c r="AU48" s="198"/>
      <c r="AV48" s="198"/>
      <c r="AW48" s="198"/>
      <c r="AX48" s="198"/>
      <c r="AY48" s="198"/>
      <c r="AZ48" s="124"/>
      <c r="BA48" s="356" t="str">
        <f t="shared" si="1"/>
        <v/>
      </c>
      <c r="BB48" s="356" t="str">
        <f t="shared" ref="BB48:BB56" si="8">IF(BC48="","",$Q$221)</f>
        <v/>
      </c>
      <c r="BC48" s="356" t="str">
        <f>S236</f>
        <v/>
      </c>
      <c r="BD48" s="195" t="s">
        <v>652</v>
      </c>
    </row>
    <row r="49" spans="1:56" s="352" customFormat="1" ht="25.15" customHeight="1" x14ac:dyDescent="0.2">
      <c r="A49" s="1351" t="str">
        <f>IF(AND(OR(ISNA(cap_exp_contact),TRIM(cap_exp_contact)=""),NOT(ISBLANK(code_7594))),"The Capital Expenditure Contact information has NOT been provided.  Please complete this information now.","")</f>
        <v/>
      </c>
      <c r="B49" s="1352"/>
      <c r="C49" s="1352"/>
      <c r="D49" s="1352"/>
      <c r="E49" s="1352"/>
      <c r="F49" s="1352"/>
      <c r="G49" s="1352"/>
      <c r="H49" s="1352"/>
      <c r="I49" s="1352"/>
      <c r="J49" s="1352"/>
      <c r="K49" s="1352"/>
      <c r="L49" s="1352"/>
      <c r="M49" s="1352"/>
      <c r="N49" s="343" t="s">
        <v>602</v>
      </c>
      <c r="O49" s="344" t="e">
        <f>$O$6</f>
        <v>#N/A</v>
      </c>
      <c r="P49" s="345" t="s">
        <v>603</v>
      </c>
      <c r="Q49" s="346" t="str">
        <f>IF(ISBLANK(Q6),"",Q6+1)</f>
        <v/>
      </c>
      <c r="R49" s="534" t="s">
        <v>752</v>
      </c>
      <c r="S49" s="198"/>
      <c r="T49" s="198"/>
      <c r="U49" s="198"/>
      <c r="V49" s="198"/>
      <c r="W49" s="198"/>
      <c r="X49" s="198"/>
      <c r="Y49" s="198"/>
      <c r="Z49" s="198"/>
      <c r="AA49" s="398"/>
      <c r="AB49" s="398"/>
      <c r="AC49" s="3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24"/>
      <c r="BA49" s="356" t="str">
        <f t="shared" si="1"/>
        <v/>
      </c>
      <c r="BB49" s="356" t="str">
        <f t="shared" si="8"/>
        <v/>
      </c>
      <c r="BC49" s="356" t="str">
        <f>T236</f>
        <v/>
      </c>
      <c r="BD49" s="256"/>
    </row>
    <row r="50" spans="1:56" s="352" customFormat="1" ht="25.15" customHeight="1" thickBot="1" x14ac:dyDescent="0.25">
      <c r="A50" s="1353" t="s">
        <v>197</v>
      </c>
      <c r="B50" s="1354"/>
      <c r="C50" s="1354"/>
      <c r="D50" s="1354"/>
      <c r="E50" s="1355"/>
      <c r="F50" s="1356"/>
      <c r="G50" s="1356"/>
      <c r="H50" s="1356"/>
      <c r="I50" s="1356"/>
      <c r="J50" s="1356"/>
      <c r="K50" s="1356"/>
      <c r="L50" s="1357"/>
      <c r="M50" s="550" t="s">
        <v>752</v>
      </c>
      <c r="N50" s="1358" t="s">
        <v>604</v>
      </c>
      <c r="O50" s="1359"/>
      <c r="P50" s="1359"/>
      <c r="Q50" s="1360"/>
      <c r="R50" s="531" t="s">
        <v>752</v>
      </c>
      <c r="S50" s="348" t="str">
        <f>IF(ISBLANK(E50),"",E50)</f>
        <v/>
      </c>
      <c r="T50" s="143" t="s">
        <v>495</v>
      </c>
      <c r="U50" s="280"/>
      <c r="V50" s="280"/>
      <c r="W50" s="198"/>
      <c r="X50" s="198"/>
      <c r="Y50" s="198"/>
      <c r="Z50" s="198"/>
      <c r="AA50" s="398"/>
      <c r="AB50" s="398"/>
      <c r="AC50" s="398"/>
      <c r="AD50" s="198"/>
      <c r="AE50" s="198"/>
      <c r="AF50" s="198"/>
      <c r="AG50" s="198"/>
      <c r="AH50" s="198"/>
      <c r="AI50" s="198"/>
      <c r="AJ50" s="198"/>
      <c r="AK50" s="198"/>
      <c r="AL50" s="198"/>
      <c r="AM50" s="198"/>
      <c r="AN50" s="198"/>
      <c r="AO50" s="198"/>
      <c r="AP50" s="198"/>
      <c r="AQ50" s="198"/>
      <c r="AR50" s="198"/>
      <c r="AS50" s="198"/>
      <c r="AT50" s="198"/>
      <c r="AU50" s="198"/>
      <c r="AV50" s="198"/>
      <c r="AW50" s="198"/>
      <c r="AX50" s="198"/>
      <c r="AY50" s="198"/>
      <c r="AZ50" s="124"/>
      <c r="BA50" s="356" t="str">
        <f t="shared" si="1"/>
        <v/>
      </c>
      <c r="BB50" s="356" t="str">
        <f t="shared" si="8"/>
        <v/>
      </c>
      <c r="BC50" s="356" t="str">
        <f>U236</f>
        <v/>
      </c>
      <c r="BD50" s="256"/>
    </row>
    <row r="51" spans="1:56" s="352" customFormat="1" ht="25.15" customHeight="1" x14ac:dyDescent="0.2">
      <c r="A51" s="1361" t="s">
        <v>605</v>
      </c>
      <c r="B51" s="1362"/>
      <c r="C51" s="1362"/>
      <c r="D51" s="1363"/>
      <c r="E51" s="1339"/>
      <c r="F51" s="1340"/>
      <c r="G51" s="1340"/>
      <c r="H51" s="1340"/>
      <c r="I51" s="1340"/>
      <c r="J51" s="1340"/>
      <c r="K51" s="1340"/>
      <c r="L51" s="1341"/>
      <c r="M51" s="1342" t="str">
        <f>IF(AND(ISBLANK(E51),OR(NOT(ISBLANK(E52)),NOT(ISBLANK(E53)),NOT(ISBLANK(E54)),NOT(ISBLANK(I55)),NOT(ISBLANK(A57)))),"This information is required.","")</f>
        <v/>
      </c>
      <c r="N51" s="1343"/>
      <c r="O51" s="1343"/>
      <c r="P51" s="1343"/>
      <c r="Q51" s="551" t="s">
        <v>752</v>
      </c>
      <c r="R51" s="531" t="s">
        <v>752</v>
      </c>
      <c r="S51" s="348" t="str">
        <f>IF(ISBLANK(E51),"",E51)</f>
        <v/>
      </c>
      <c r="T51" s="143" t="s">
        <v>185</v>
      </c>
      <c r="U51" s="280"/>
      <c r="V51" s="280"/>
      <c r="W51" s="349"/>
      <c r="X51" s="349"/>
      <c r="Y51" s="349"/>
      <c r="Z51" s="349"/>
      <c r="AA51" s="398"/>
      <c r="AB51" s="398"/>
      <c r="AC51" s="398"/>
      <c r="AD51" s="198"/>
      <c r="AE51" s="198"/>
      <c r="AF51" s="198"/>
      <c r="AG51" s="198"/>
      <c r="AH51" s="198"/>
      <c r="AI51" s="198"/>
      <c r="AJ51" s="198"/>
      <c r="AK51" s="198"/>
      <c r="AL51" s="198"/>
      <c r="AM51" s="198"/>
      <c r="AN51" s="198"/>
      <c r="AO51" s="198"/>
      <c r="AP51" s="198"/>
      <c r="AQ51" s="198"/>
      <c r="AR51" s="198"/>
      <c r="AS51" s="198"/>
      <c r="AT51" s="198"/>
      <c r="AU51" s="198"/>
      <c r="AV51" s="198"/>
      <c r="AW51" s="198"/>
      <c r="AX51" s="198"/>
      <c r="AY51" s="198"/>
      <c r="AZ51" s="124"/>
      <c r="BA51" s="356" t="str">
        <f t="shared" si="1"/>
        <v/>
      </c>
      <c r="BB51" s="356" t="str">
        <f t="shared" si="8"/>
        <v/>
      </c>
      <c r="BC51" s="356" t="str">
        <f>V236</f>
        <v/>
      </c>
      <c r="BD51" s="256"/>
    </row>
    <row r="52" spans="1:56" s="352" customFormat="1" ht="25.15" customHeight="1" x14ac:dyDescent="0.2">
      <c r="A52" s="1325" t="s">
        <v>606</v>
      </c>
      <c r="B52" s="1326"/>
      <c r="C52" s="1326"/>
      <c r="D52" s="1327"/>
      <c r="E52" s="1339"/>
      <c r="F52" s="1340"/>
      <c r="G52" s="1340"/>
      <c r="H52" s="1340"/>
      <c r="I52" s="1340"/>
      <c r="J52" s="1340"/>
      <c r="K52" s="1340"/>
      <c r="L52" s="1341"/>
      <c r="M52" s="1342" t="str">
        <f>IF(AND(ISBLANK(E52),OR(NOT(ISBLANK(E51)),NOT(ISBLANK(E53)),NOT(ISBLANK(E54)),NOT(ISBLANK(I55)),NOT(ISBLANK(A57)))),"This information is required.","")</f>
        <v/>
      </c>
      <c r="N52" s="1343"/>
      <c r="O52" s="1343"/>
      <c r="P52" s="1343"/>
      <c r="Q52" s="551" t="s">
        <v>752</v>
      </c>
      <c r="R52" s="531" t="s">
        <v>752</v>
      </c>
      <c r="S52" s="348" t="str">
        <f>IF(ISBLANK(E52),"",E52)</f>
        <v/>
      </c>
      <c r="T52" s="143" t="s">
        <v>186</v>
      </c>
      <c r="U52" s="280"/>
      <c r="V52" s="280"/>
      <c r="W52" s="198"/>
      <c r="X52" s="380"/>
      <c r="Y52" s="380"/>
      <c r="Z52" s="380"/>
      <c r="AA52" s="198"/>
      <c r="AB52" s="198"/>
      <c r="AC52" s="198"/>
      <c r="AD52" s="198"/>
      <c r="AE52" s="198"/>
      <c r="AF52" s="198"/>
      <c r="AG52" s="198"/>
      <c r="AH52" s="198"/>
      <c r="AI52" s="198"/>
      <c r="AJ52" s="198"/>
      <c r="AK52" s="198"/>
      <c r="AL52" s="198"/>
      <c r="AM52" s="198"/>
      <c r="AN52" s="198"/>
      <c r="AO52" s="198"/>
      <c r="AP52" s="198"/>
      <c r="AQ52" s="198"/>
      <c r="AR52" s="198"/>
      <c r="AS52" s="198"/>
      <c r="AT52" s="198"/>
      <c r="AU52" s="198"/>
      <c r="AV52" s="198"/>
      <c r="AW52" s="198"/>
      <c r="AX52" s="198"/>
      <c r="AY52" s="198"/>
      <c r="AZ52" s="124"/>
      <c r="BA52" s="356" t="str">
        <f t="shared" si="1"/>
        <v/>
      </c>
      <c r="BB52" s="356" t="str">
        <f t="shared" si="8"/>
        <v/>
      </c>
      <c r="BC52" s="356" t="str">
        <f>S238</f>
        <v/>
      </c>
      <c r="BD52" s="256"/>
    </row>
    <row r="53" spans="1:56" s="352" customFormat="1" ht="25.15" customHeight="1" x14ac:dyDescent="0.2">
      <c r="A53" s="1344" t="s">
        <v>607</v>
      </c>
      <c r="B53" s="1345"/>
      <c r="C53" s="1345"/>
      <c r="D53" s="1346"/>
      <c r="E53" s="1347"/>
      <c r="F53" s="1348"/>
      <c r="G53" s="1349" t="s">
        <v>608</v>
      </c>
      <c r="H53" s="1349"/>
      <c r="I53" s="1349"/>
      <c r="J53" s="1349"/>
      <c r="K53" s="1349"/>
      <c r="L53" s="1349"/>
      <c r="M53" s="1350" t="str">
        <f>IF(AND(ISBLANK(E53),OR(NOT(ISBLANK(E51)),NOT(ISBLANK(E52)),NOT(ISBLANK(E54)),NOT(ISBLANK(I55)),NOT(ISBLANK(A57)))),"This information is required.","")</f>
        <v/>
      </c>
      <c r="N53" s="1202"/>
      <c r="O53" s="1202"/>
      <c r="P53" s="1202"/>
      <c r="Q53" s="532" t="s">
        <v>752</v>
      </c>
      <c r="R53" s="531" t="s">
        <v>752</v>
      </c>
      <c r="S53" s="350" t="str">
        <f>IF(ISBLANK(E53),"",E53)</f>
        <v/>
      </c>
      <c r="T53" s="351" t="s">
        <v>188</v>
      </c>
      <c r="U53" s="349"/>
      <c r="V53" s="349"/>
      <c r="W53" s="198"/>
      <c r="X53" s="380"/>
      <c r="Y53" s="380"/>
      <c r="Z53" s="380"/>
      <c r="AA53" s="198"/>
      <c r="AB53" s="198"/>
      <c r="AC53" s="198"/>
      <c r="AD53" s="198"/>
      <c r="AE53" s="198"/>
      <c r="AF53" s="198"/>
      <c r="AG53" s="198"/>
      <c r="AH53" s="198"/>
      <c r="AI53" s="198"/>
      <c r="AJ53" s="198"/>
      <c r="AK53" s="198"/>
      <c r="AL53" s="198"/>
      <c r="AM53" s="198"/>
      <c r="AN53" s="198"/>
      <c r="AO53" s="198"/>
      <c r="AP53" s="198"/>
      <c r="AQ53" s="198"/>
      <c r="AR53" s="198"/>
      <c r="AS53" s="198"/>
      <c r="AT53" s="198"/>
      <c r="AU53" s="198"/>
      <c r="AV53" s="198"/>
      <c r="AW53" s="198"/>
      <c r="AX53" s="198"/>
      <c r="AY53" s="198"/>
      <c r="AZ53" s="124"/>
      <c r="BA53" s="356" t="str">
        <f t="shared" si="1"/>
        <v/>
      </c>
      <c r="BB53" s="356" t="str">
        <f t="shared" si="8"/>
        <v/>
      </c>
      <c r="BC53" s="356" t="str">
        <f>S239</f>
        <v/>
      </c>
      <c r="BD53" s="256"/>
    </row>
    <row r="54" spans="1:56" s="352" customFormat="1" ht="25.15" customHeight="1" x14ac:dyDescent="0.2">
      <c r="A54" s="1325" t="s">
        <v>609</v>
      </c>
      <c r="B54" s="1326"/>
      <c r="C54" s="1326"/>
      <c r="D54" s="1327"/>
      <c r="E54" s="1328"/>
      <c r="F54" s="1329"/>
      <c r="G54" s="1337" t="s">
        <v>752</v>
      </c>
      <c r="H54" s="1338"/>
      <c r="I54" s="1338"/>
      <c r="J54" s="1338"/>
      <c r="K54" s="1338"/>
      <c r="L54" s="1338"/>
      <c r="M54" s="1202" t="str">
        <f>IF(AND(ISBLANK(E54),OR(NOT(ISBLANK(E51)),NOT(ISBLANK(E52)),NOT(ISBLANK(E53)),NOT(ISBLANK(I55)),NOT(ISBLANK(A57)))),"This information is required.","")</f>
        <v/>
      </c>
      <c r="N54" s="1202"/>
      <c r="O54" s="1202"/>
      <c r="P54" s="1202"/>
      <c r="Q54" s="532" t="s">
        <v>752</v>
      </c>
      <c r="R54" s="531" t="s">
        <v>752</v>
      </c>
      <c r="S54" s="353" t="str">
        <f>IF(ISBLANK(E54),"",E54)</f>
        <v/>
      </c>
      <c r="T54" s="354" t="s">
        <v>189</v>
      </c>
      <c r="U54" s="318"/>
      <c r="V54" s="318"/>
      <c r="W54" s="198"/>
      <c r="X54" s="380"/>
      <c r="Y54" s="380"/>
      <c r="Z54" s="380"/>
      <c r="AA54" s="198"/>
      <c r="AB54" s="198"/>
      <c r="AC54" s="198"/>
      <c r="AD54" s="198"/>
      <c r="AE54" s="198"/>
      <c r="AF54" s="198"/>
      <c r="AG54" s="198"/>
      <c r="AH54" s="198"/>
      <c r="AI54" s="198"/>
      <c r="AJ54" s="198"/>
      <c r="AK54" s="198"/>
      <c r="AL54" s="198"/>
      <c r="AM54" s="198"/>
      <c r="AN54" s="198"/>
      <c r="AO54" s="198"/>
      <c r="AP54" s="198"/>
      <c r="AQ54" s="198"/>
      <c r="AR54" s="198"/>
      <c r="AS54" s="198"/>
      <c r="AT54" s="198"/>
      <c r="AU54" s="198"/>
      <c r="AV54" s="198"/>
      <c r="AW54" s="198"/>
      <c r="AX54" s="198"/>
      <c r="AY54" s="198"/>
      <c r="AZ54" s="124"/>
      <c r="BA54" s="356" t="str">
        <f t="shared" si="1"/>
        <v/>
      </c>
      <c r="BB54" s="356" t="str">
        <f t="shared" si="8"/>
        <v/>
      </c>
      <c r="BC54" s="356" t="str">
        <f>S240</f>
        <v/>
      </c>
      <c r="BD54" s="256"/>
    </row>
    <row r="55" spans="1:56" s="352" customFormat="1" ht="25.15" customHeight="1" thickBot="1" x14ac:dyDescent="0.25">
      <c r="A55" s="1330" t="s">
        <v>610</v>
      </c>
      <c r="B55" s="1331"/>
      <c r="C55" s="1331"/>
      <c r="D55" s="1331"/>
      <c r="E55" s="1332"/>
      <c r="F55" s="1332"/>
      <c r="G55" s="1332"/>
      <c r="H55" s="1332"/>
      <c r="I55" s="1333"/>
      <c r="J55" s="1333"/>
      <c r="K55" s="1334" t="s">
        <v>611</v>
      </c>
      <c r="L55" s="1335"/>
      <c r="M55" s="1336" t="str">
        <f>IF(AND(ISBLANK(I55),OR(NOT(ISBLANK(E51)),NOT(ISBLANK(E52)),NOT(ISBLANK(E53)),NOT(ISBLANK(E54)),NOT(ISBLANK(A57)))),"This information is required!","")</f>
        <v/>
      </c>
      <c r="N55" s="1336"/>
      <c r="O55" s="1336"/>
      <c r="P55" s="1336"/>
      <c r="Q55" s="553" t="s">
        <v>752</v>
      </c>
      <c r="R55" s="531" t="s">
        <v>752</v>
      </c>
      <c r="S55" s="353" t="str">
        <f>IF(ISBLANK(I55),"",I55)</f>
        <v/>
      </c>
      <c r="T55" s="354" t="s">
        <v>190</v>
      </c>
      <c r="U55" s="355"/>
      <c r="V55" s="355"/>
      <c r="W55" s="349"/>
      <c r="X55" s="380"/>
      <c r="Y55" s="380"/>
      <c r="Z55" s="380"/>
      <c r="AA55" s="198"/>
      <c r="AB55" s="198"/>
      <c r="AC55" s="198"/>
      <c r="AD55" s="198"/>
      <c r="AE55" s="198"/>
      <c r="AF55" s="198"/>
      <c r="AG55" s="198"/>
      <c r="AH55" s="198"/>
      <c r="AI55" s="198"/>
      <c r="AJ55" s="198"/>
      <c r="AK55" s="198"/>
      <c r="AL55" s="198"/>
      <c r="AM55" s="198"/>
      <c r="AN55" s="198"/>
      <c r="AO55" s="198"/>
      <c r="AP55" s="198"/>
      <c r="AQ55" s="198"/>
      <c r="AR55" s="198"/>
      <c r="AS55" s="198"/>
      <c r="AT55" s="198"/>
      <c r="AU55" s="198"/>
      <c r="AV55" s="198"/>
      <c r="AW55" s="198"/>
      <c r="AX55" s="198"/>
      <c r="AY55" s="198"/>
      <c r="AZ55" s="124"/>
      <c r="BA55" s="356" t="str">
        <f t="shared" si="1"/>
        <v/>
      </c>
      <c r="BB55" s="356" t="str">
        <f t="shared" si="8"/>
        <v/>
      </c>
      <c r="BC55" s="356" t="str">
        <f>S248</f>
        <v/>
      </c>
      <c r="BD55" s="256"/>
    </row>
    <row r="56" spans="1:56" s="352" customFormat="1" ht="25.15" customHeight="1" x14ac:dyDescent="0.2">
      <c r="A56" s="1251" t="s">
        <v>613</v>
      </c>
      <c r="B56" s="1252"/>
      <c r="C56" s="1252"/>
      <c r="D56" s="1252"/>
      <c r="E56" s="1252"/>
      <c r="F56" s="1252"/>
      <c r="G56" s="1252"/>
      <c r="H56" s="1252"/>
      <c r="I56" s="1252"/>
      <c r="J56" s="1317"/>
      <c r="K56" s="1318" t="s">
        <v>679</v>
      </c>
      <c r="L56" s="1318"/>
      <c r="M56" s="1318"/>
      <c r="N56" s="1318"/>
      <c r="O56" s="1320" t="s">
        <v>614</v>
      </c>
      <c r="P56" s="1320"/>
      <c r="Q56" s="1321"/>
      <c r="R56" s="531" t="s">
        <v>752</v>
      </c>
      <c r="S56" s="353" t="str">
        <f>IF(ISBLANK(A57),"",A57)</f>
        <v/>
      </c>
      <c r="T56" s="354" t="s">
        <v>191</v>
      </c>
      <c r="U56" s="357"/>
      <c r="V56" s="357"/>
      <c r="W56" s="380"/>
      <c r="X56" s="198"/>
      <c r="Y56" s="198"/>
      <c r="Z56" s="198"/>
      <c r="AA56" s="198"/>
      <c r="AB56" s="198"/>
      <c r="AC56" s="198"/>
      <c r="AD56" s="198"/>
      <c r="AE56" s="198"/>
      <c r="AF56" s="198"/>
      <c r="AG56" s="198"/>
      <c r="AH56" s="198"/>
      <c r="AI56" s="198"/>
      <c r="AJ56" s="198"/>
      <c r="AK56" s="198"/>
      <c r="AL56" s="198"/>
      <c r="AM56" s="198"/>
      <c r="AN56" s="198"/>
      <c r="AO56" s="198"/>
      <c r="AP56" s="198"/>
      <c r="AQ56" s="198"/>
      <c r="AR56" s="198"/>
      <c r="AS56" s="198"/>
      <c r="AT56" s="198"/>
      <c r="AU56" s="198"/>
      <c r="AV56" s="198"/>
      <c r="AW56" s="198"/>
      <c r="AX56" s="198"/>
      <c r="AY56" s="198"/>
      <c r="AZ56" s="124"/>
      <c r="BA56" s="356" t="str">
        <f t="shared" si="1"/>
        <v/>
      </c>
      <c r="BB56" s="356" t="str">
        <f t="shared" si="8"/>
        <v/>
      </c>
      <c r="BC56" s="356" t="str">
        <f>S249</f>
        <v/>
      </c>
      <c r="BD56" s="256"/>
    </row>
    <row r="57" spans="1:56" s="352" customFormat="1" ht="25.15" customHeight="1" x14ac:dyDescent="0.2">
      <c r="A57" s="1263"/>
      <c r="B57" s="1264"/>
      <c r="C57" s="1264"/>
      <c r="D57" s="1264"/>
      <c r="E57" s="1264"/>
      <c r="F57" s="1264"/>
      <c r="G57" s="1264"/>
      <c r="H57" s="1264"/>
      <c r="I57" s="1264"/>
      <c r="J57" s="1305"/>
      <c r="K57" s="1319"/>
      <c r="L57" s="1319"/>
      <c r="M57" s="1319"/>
      <c r="N57" s="1319"/>
      <c r="O57" s="555" t="s">
        <v>752</v>
      </c>
      <c r="P57" s="214" t="s">
        <v>265</v>
      </c>
      <c r="Q57" s="358" t="s">
        <v>266</v>
      </c>
      <c r="R57" s="531" t="s">
        <v>752</v>
      </c>
      <c r="S57" s="353" t="str">
        <f>IF(ISBLANK(A60),"",A60)</f>
        <v/>
      </c>
      <c r="T57" s="359" t="s">
        <v>192</v>
      </c>
      <c r="U57" s="357"/>
      <c r="V57" s="357"/>
      <c r="W57" s="380"/>
      <c r="X57" s="378"/>
      <c r="Y57" s="378"/>
      <c r="Z57" s="378"/>
      <c r="AA57" s="349"/>
      <c r="AB57" s="349"/>
      <c r="AC57" s="349"/>
      <c r="AD57" s="399"/>
      <c r="AE57" s="198"/>
      <c r="AF57" s="198"/>
      <c r="AG57" s="198"/>
      <c r="AH57" s="198"/>
      <c r="AI57" s="198"/>
      <c r="AJ57" s="198"/>
      <c r="AK57" s="198"/>
      <c r="AL57" s="198"/>
      <c r="AM57" s="198"/>
      <c r="AN57" s="198"/>
      <c r="AO57" s="198"/>
      <c r="AP57" s="198"/>
      <c r="AQ57" s="198"/>
      <c r="AR57" s="198"/>
      <c r="AS57" s="198"/>
      <c r="AT57" s="198"/>
      <c r="AU57" s="198"/>
      <c r="AV57" s="198"/>
      <c r="AW57" s="198"/>
      <c r="AX57" s="198"/>
      <c r="AY57" s="198"/>
      <c r="AZ57" s="124"/>
      <c r="BA57" s="333" t="str">
        <f t="shared" si="1"/>
        <v/>
      </c>
      <c r="BB57" s="333" t="str">
        <f t="shared" ref="BB57:BB65" si="9">IF(BC57="","",$Q$264)</f>
        <v/>
      </c>
      <c r="BC57" s="333" t="str">
        <f>S279</f>
        <v/>
      </c>
      <c r="BD57" s="195" t="s">
        <v>653</v>
      </c>
    </row>
    <row r="58" spans="1:56" s="352" customFormat="1" ht="25.15" customHeight="1" x14ac:dyDescent="0.2">
      <c r="A58" s="1279"/>
      <c r="B58" s="1280"/>
      <c r="C58" s="1280"/>
      <c r="D58" s="1280"/>
      <c r="E58" s="1280"/>
      <c r="F58" s="1280"/>
      <c r="G58" s="1280"/>
      <c r="H58" s="1280"/>
      <c r="I58" s="1280"/>
      <c r="J58" s="1306"/>
      <c r="K58" s="1307" t="s">
        <v>615</v>
      </c>
      <c r="L58" s="1308"/>
      <c r="M58" s="1308"/>
      <c r="N58" s="1308"/>
      <c r="O58" s="1309"/>
      <c r="P58" s="365"/>
      <c r="Q58" s="400"/>
      <c r="R58" s="355" t="str">
        <f>IF(COUNTBLANK(P58:Q58)=2,"Please enter response.",IF(COUNTBLANK(P58:Q58)&lt;&gt;1,"Please VERIFY response.",""))</f>
        <v>Please enter response.</v>
      </c>
      <c r="S58" s="366" t="str">
        <f>IF(AND(ISBLANK(P58),ISBLANK(Q58)),"",IF(ISBLANK(P58),0,1))</f>
        <v/>
      </c>
      <c r="T58" s="233" t="s">
        <v>586</v>
      </c>
      <c r="U58" s="200"/>
      <c r="V58" s="200"/>
      <c r="W58" s="380"/>
      <c r="X58" s="380"/>
      <c r="Y58" s="380"/>
      <c r="Z58" s="380"/>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8"/>
      <c r="AY58" s="198"/>
      <c r="AZ58" s="124"/>
      <c r="BA58" s="333" t="str">
        <f t="shared" si="1"/>
        <v/>
      </c>
      <c r="BB58" s="333" t="str">
        <f t="shared" si="9"/>
        <v/>
      </c>
      <c r="BC58" s="333" t="str">
        <f>T279</f>
        <v/>
      </c>
      <c r="BD58" s="200"/>
    </row>
    <row r="59" spans="1:56" s="352" customFormat="1" ht="25.15" customHeight="1" x14ac:dyDescent="0.2">
      <c r="A59" s="1322" t="s">
        <v>616</v>
      </c>
      <c r="B59" s="1323"/>
      <c r="C59" s="1323"/>
      <c r="D59" s="1323"/>
      <c r="E59" s="1323"/>
      <c r="F59" s="1323"/>
      <c r="G59" s="1323"/>
      <c r="H59" s="1323"/>
      <c r="I59" s="1323"/>
      <c r="J59" s="1324"/>
      <c r="K59" s="1307" t="s">
        <v>617</v>
      </c>
      <c r="L59" s="1308"/>
      <c r="M59" s="1308"/>
      <c r="N59" s="1308"/>
      <c r="O59" s="1309"/>
      <c r="P59" s="365"/>
      <c r="Q59" s="400"/>
      <c r="R59" s="355" t="str">
        <f>IF(COUNTBLANK(P59:Q59)=2,"Please enter response.",IF(COUNTBLANK(P59:Q59)&lt;&gt;1,"Please VERIFY response.",""))</f>
        <v>Please enter response.</v>
      </c>
      <c r="S59" s="366" t="str">
        <f>IF(AND(ISBLANK(P59),ISBLANK(Q59)),"",IF(ISBLANK(P59),0,1))</f>
        <v/>
      </c>
      <c r="T59" s="233" t="s">
        <v>587</v>
      </c>
      <c r="U59" s="200"/>
      <c r="V59" s="200"/>
      <c r="W59" s="380"/>
      <c r="X59" s="380"/>
      <c r="Y59" s="380"/>
      <c r="Z59" s="380"/>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8"/>
      <c r="AY59" s="198"/>
      <c r="AZ59" s="124"/>
      <c r="BA59" s="333" t="str">
        <f t="shared" si="1"/>
        <v/>
      </c>
      <c r="BB59" s="333" t="str">
        <f t="shared" si="9"/>
        <v/>
      </c>
      <c r="BC59" s="333" t="str">
        <f>U279</f>
        <v/>
      </c>
      <c r="BD59" s="256"/>
    </row>
    <row r="60" spans="1:56" s="352" customFormat="1" ht="25.15" customHeight="1" x14ac:dyDescent="0.2">
      <c r="A60" s="1263"/>
      <c r="B60" s="1264"/>
      <c r="C60" s="1264"/>
      <c r="D60" s="1264"/>
      <c r="E60" s="1264"/>
      <c r="F60" s="1264"/>
      <c r="G60" s="1264"/>
      <c r="H60" s="1264"/>
      <c r="I60" s="1264"/>
      <c r="J60" s="1305"/>
      <c r="K60" s="1307" t="s">
        <v>618</v>
      </c>
      <c r="L60" s="1308"/>
      <c r="M60" s="1308"/>
      <c r="N60" s="1308"/>
      <c r="O60" s="1309"/>
      <c r="P60" s="365"/>
      <c r="Q60" s="400"/>
      <c r="R60" s="355" t="str">
        <f>IF(COUNTBLANK(P60:Q60)=2,"Please enter response.",IF(COUNTBLANK(P60:Q60)&lt;&gt;1,"Please VERIFY response.",""))</f>
        <v>Please enter response.</v>
      </c>
      <c r="S60" s="366" t="str">
        <f>IF(AND(ISBLANK(P60),ISBLANK(Q60)),"",IF(ISBLANK(P60),0,1))</f>
        <v/>
      </c>
      <c r="T60" s="233" t="s">
        <v>588</v>
      </c>
      <c r="U60" s="200"/>
      <c r="V60" s="200"/>
      <c r="W60" s="198"/>
      <c r="X60" s="380"/>
      <c r="Y60" s="380"/>
      <c r="Z60" s="380"/>
      <c r="AA60" s="198"/>
      <c r="AB60" s="198"/>
      <c r="AC60" s="198"/>
      <c r="AE60" s="198"/>
      <c r="AF60" s="198"/>
      <c r="AG60" s="198"/>
      <c r="AH60" s="198"/>
      <c r="AI60" s="198"/>
      <c r="AJ60" s="198"/>
      <c r="AK60" s="198"/>
      <c r="AL60" s="198"/>
      <c r="AM60" s="198"/>
      <c r="AN60" s="198"/>
      <c r="AO60" s="198"/>
      <c r="AP60" s="198"/>
      <c r="AQ60" s="198"/>
      <c r="AR60" s="198"/>
      <c r="AS60" s="198"/>
      <c r="AT60" s="198"/>
      <c r="AU60" s="198"/>
      <c r="AV60" s="198"/>
      <c r="AW60" s="198"/>
      <c r="AX60" s="198"/>
      <c r="AY60" s="198"/>
      <c r="AZ60" s="124"/>
      <c r="BA60" s="333" t="str">
        <f t="shared" si="1"/>
        <v/>
      </c>
      <c r="BB60" s="333" t="str">
        <f t="shared" si="9"/>
        <v/>
      </c>
      <c r="BC60" s="333" t="str">
        <f>V279</f>
        <v/>
      </c>
      <c r="BD60" s="256"/>
    </row>
    <row r="61" spans="1:56" s="352" customFormat="1" ht="25.15" customHeight="1" x14ac:dyDescent="0.25">
      <c r="A61" s="1279"/>
      <c r="B61" s="1280"/>
      <c r="C61" s="1280"/>
      <c r="D61" s="1280"/>
      <c r="E61" s="1280"/>
      <c r="F61" s="1280"/>
      <c r="G61" s="1280"/>
      <c r="H61" s="1280"/>
      <c r="I61" s="1280"/>
      <c r="J61" s="1306"/>
      <c r="K61" s="1307" t="s">
        <v>619</v>
      </c>
      <c r="L61" s="1308"/>
      <c r="M61" s="1308"/>
      <c r="N61" s="1308"/>
      <c r="O61" s="1309"/>
      <c r="P61" s="365"/>
      <c r="Q61" s="400"/>
      <c r="R61" s="355" t="str">
        <f>IF(COUNTBLANK(P61:Q61)=2,"Please enter response.",IF(COUNTBLANK(P61:Q61)&lt;&gt;1,"Please VERIFY response.",""))</f>
        <v>Please enter response.</v>
      </c>
      <c r="S61" s="366" t="str">
        <f>IF(AND(ISBLANK(P61),ISBLANK(Q61)),"",IF(ISBLANK(P61),0,1))</f>
        <v/>
      </c>
      <c r="T61" s="233" t="s">
        <v>589</v>
      </c>
      <c r="U61" s="200"/>
      <c r="V61" s="200"/>
      <c r="W61" s="378"/>
      <c r="X61" s="388"/>
      <c r="Y61" s="388"/>
      <c r="Z61" s="388"/>
      <c r="AA61" s="349"/>
      <c r="AB61" s="349"/>
      <c r="AC61" s="349"/>
      <c r="AD61" s="385"/>
      <c r="AE61" s="198"/>
      <c r="AF61" s="198"/>
      <c r="AG61" s="198"/>
      <c r="AH61" s="198"/>
      <c r="AI61" s="198"/>
      <c r="AJ61" s="198"/>
      <c r="AK61" s="198"/>
      <c r="AL61" s="198"/>
      <c r="AM61" s="198"/>
      <c r="AN61" s="198"/>
      <c r="AO61" s="198"/>
      <c r="AP61" s="198"/>
      <c r="AQ61" s="198"/>
      <c r="AR61" s="198"/>
      <c r="AS61" s="198"/>
      <c r="AT61" s="198"/>
      <c r="AU61" s="198"/>
      <c r="AV61" s="198"/>
      <c r="AW61" s="198"/>
      <c r="AX61" s="198"/>
      <c r="AY61" s="198"/>
      <c r="AZ61" s="124"/>
      <c r="BA61" s="333" t="str">
        <f t="shared" si="1"/>
        <v/>
      </c>
      <c r="BB61" s="333" t="str">
        <f t="shared" si="9"/>
        <v/>
      </c>
      <c r="BC61" s="333" t="str">
        <f>S281</f>
        <v/>
      </c>
      <c r="BD61" s="256"/>
    </row>
    <row r="62" spans="1:56" s="352" customFormat="1" ht="25.15" customHeight="1" x14ac:dyDescent="0.2">
      <c r="A62" s="1310" t="s">
        <v>620</v>
      </c>
      <c r="B62" s="1311"/>
      <c r="C62" s="1311"/>
      <c r="D62" s="1311"/>
      <c r="E62" s="1311"/>
      <c r="F62" s="1311"/>
      <c r="G62" s="1311"/>
      <c r="H62" s="1311"/>
      <c r="I62" s="1311"/>
      <c r="J62" s="1311"/>
      <c r="K62" s="1311"/>
      <c r="L62" s="1311"/>
      <c r="M62" s="1311"/>
      <c r="N62" s="1311"/>
      <c r="O62" s="1311"/>
      <c r="P62" s="1311"/>
      <c r="Q62" s="1312"/>
      <c r="R62" s="554" t="s">
        <v>752</v>
      </c>
      <c r="S62" s="377"/>
      <c r="T62" s="368"/>
      <c r="U62" s="368"/>
      <c r="V62" s="368"/>
      <c r="W62" s="380"/>
      <c r="X62" s="378"/>
      <c r="Y62" s="378"/>
      <c r="Z62" s="378"/>
      <c r="AA62" s="380"/>
      <c r="AB62" s="380"/>
      <c r="AC62" s="380"/>
      <c r="AD62" s="198"/>
      <c r="AE62" s="198"/>
      <c r="AF62" s="198"/>
      <c r="AG62" s="198"/>
      <c r="AH62" s="198"/>
      <c r="AI62" s="198"/>
      <c r="AJ62" s="198"/>
      <c r="AK62" s="198"/>
      <c r="AL62" s="198"/>
      <c r="AM62" s="198"/>
      <c r="AN62" s="198"/>
      <c r="AO62" s="198"/>
      <c r="AP62" s="198"/>
      <c r="AQ62" s="198"/>
      <c r="AR62" s="198"/>
      <c r="AS62" s="198"/>
      <c r="AT62" s="198"/>
      <c r="AU62" s="198"/>
      <c r="AV62" s="198"/>
      <c r="AW62" s="198"/>
      <c r="AX62" s="198"/>
      <c r="AY62" s="198"/>
      <c r="AZ62" s="124"/>
      <c r="BA62" s="333" t="str">
        <f t="shared" si="1"/>
        <v/>
      </c>
      <c r="BB62" s="333" t="str">
        <f t="shared" si="9"/>
        <v/>
      </c>
      <c r="BC62" s="333" t="str">
        <f>S282</f>
        <v/>
      </c>
      <c r="BD62" s="256"/>
    </row>
    <row r="63" spans="1:56" s="352" customFormat="1" ht="25.15" customHeight="1" x14ac:dyDescent="0.25">
      <c r="A63" s="1313" t="s">
        <v>621</v>
      </c>
      <c r="B63" s="1314"/>
      <c r="C63" s="1314"/>
      <c r="D63" s="1314"/>
      <c r="E63" s="1314" t="s">
        <v>622</v>
      </c>
      <c r="F63" s="1314"/>
      <c r="G63" s="1314"/>
      <c r="H63" s="1314"/>
      <c r="I63" s="1314" t="s">
        <v>623</v>
      </c>
      <c r="J63" s="1314"/>
      <c r="K63" s="1314"/>
      <c r="L63" s="1314"/>
      <c r="M63" s="1315" t="s">
        <v>624</v>
      </c>
      <c r="N63" s="1314"/>
      <c r="O63" s="1314"/>
      <c r="P63" s="1314"/>
      <c r="Q63" s="1316"/>
      <c r="R63" s="554" t="s">
        <v>752</v>
      </c>
      <c r="S63" s="1298" t="s">
        <v>625</v>
      </c>
      <c r="T63" s="1298"/>
      <c r="U63" s="1298"/>
      <c r="V63" s="1298"/>
      <c r="W63" s="380"/>
      <c r="X63" s="380"/>
      <c r="Y63" s="380"/>
      <c r="Z63" s="380"/>
      <c r="AA63" s="380"/>
      <c r="AB63" s="380"/>
      <c r="AC63" s="380"/>
      <c r="AD63" s="385"/>
      <c r="AE63" s="198"/>
      <c r="AF63" s="198"/>
      <c r="AG63" s="198"/>
      <c r="AH63" s="198"/>
      <c r="AI63" s="198"/>
      <c r="AJ63" s="198"/>
      <c r="AK63" s="198"/>
      <c r="AL63" s="198"/>
      <c r="AM63" s="198"/>
      <c r="AN63" s="198"/>
      <c r="AO63" s="198"/>
      <c r="AP63" s="198"/>
      <c r="AQ63" s="198"/>
      <c r="AR63" s="198"/>
      <c r="AS63" s="198"/>
      <c r="AT63" s="198"/>
      <c r="AU63" s="198"/>
      <c r="AV63" s="198"/>
      <c r="AW63" s="198"/>
      <c r="AX63" s="198"/>
      <c r="AY63" s="198"/>
      <c r="AZ63" s="124"/>
      <c r="BA63" s="333" t="str">
        <f t="shared" si="1"/>
        <v/>
      </c>
      <c r="BB63" s="333" t="str">
        <f t="shared" si="9"/>
        <v/>
      </c>
      <c r="BC63" s="333" t="str">
        <f>S283</f>
        <v/>
      </c>
      <c r="BD63" s="256"/>
    </row>
    <row r="64" spans="1:56" s="352" customFormat="1" ht="25.15" customHeight="1" thickBot="1" x14ac:dyDescent="0.3">
      <c r="A64" s="1299"/>
      <c r="B64" s="848"/>
      <c r="C64" s="848"/>
      <c r="D64" s="848"/>
      <c r="E64" s="848"/>
      <c r="F64" s="848"/>
      <c r="G64" s="848"/>
      <c r="H64" s="848"/>
      <c r="I64" s="848"/>
      <c r="J64" s="848"/>
      <c r="K64" s="848"/>
      <c r="L64" s="848"/>
      <c r="M64" s="1300"/>
      <c r="N64" s="1300"/>
      <c r="O64" s="1300"/>
      <c r="P64" s="1300"/>
      <c r="Q64" s="1301"/>
      <c r="R64" s="554" t="s">
        <v>752</v>
      </c>
      <c r="S64" s="381" t="str">
        <f>IF(ISBLANK(A64),"",VLOOKUP(A64,VProjType,2,FALSE))</f>
        <v/>
      </c>
      <c r="T64" s="381" t="str">
        <f>IF(ISBLANK(E64),"",VLOOKUP(E64,VSubtype1,2,FALSE))</f>
        <v/>
      </c>
      <c r="U64" s="381" t="str">
        <f>IF(ISBLANK(I64),"",VLOOKUP(I64,VSubtype2,2,FALSE))</f>
        <v/>
      </c>
      <c r="V64" s="381" t="str">
        <f>IF(ISBLANK(M64),"",VLOOKUP(M64,VSubtype3,2,FALSE))</f>
        <v/>
      </c>
      <c r="W64" s="380"/>
      <c r="X64" s="380"/>
      <c r="Y64" s="380"/>
      <c r="Z64" s="380"/>
      <c r="AA64" s="380"/>
      <c r="AB64" s="380"/>
      <c r="AC64" s="380"/>
      <c r="AD64" s="385"/>
      <c r="AE64" s="198"/>
      <c r="AF64" s="198"/>
      <c r="AG64" s="198"/>
      <c r="AH64" s="198"/>
      <c r="AI64" s="198"/>
      <c r="AJ64" s="198"/>
      <c r="AK64" s="198"/>
      <c r="AL64" s="198"/>
      <c r="AM64" s="198"/>
      <c r="AN64" s="198"/>
      <c r="AO64" s="198"/>
      <c r="AP64" s="198"/>
      <c r="AQ64" s="198"/>
      <c r="AR64" s="198"/>
      <c r="AS64" s="198"/>
      <c r="AT64" s="198"/>
      <c r="AU64" s="198"/>
      <c r="AV64" s="198"/>
      <c r="AW64" s="198"/>
      <c r="AX64" s="198"/>
      <c r="AY64" s="198"/>
      <c r="AZ64" s="124"/>
      <c r="BA64" s="333" t="str">
        <f t="shared" si="1"/>
        <v/>
      </c>
      <c r="BB64" s="333" t="str">
        <f t="shared" si="9"/>
        <v/>
      </c>
      <c r="BC64" s="333" t="str">
        <f>S291</f>
        <v/>
      </c>
      <c r="BD64" s="256"/>
    </row>
    <row r="65" spans="1:56" s="352" customFormat="1" ht="25.15" customHeight="1" x14ac:dyDescent="0.25">
      <c r="A65" s="1302" t="s">
        <v>627</v>
      </c>
      <c r="B65" s="1303"/>
      <c r="C65" s="1303"/>
      <c r="D65" s="1303"/>
      <c r="E65" s="1303"/>
      <c r="F65" s="1303"/>
      <c r="G65" s="1303"/>
      <c r="H65" s="1303"/>
      <c r="I65" s="1303"/>
      <c r="J65" s="1303"/>
      <c r="K65" s="1303"/>
      <c r="L65" s="1303"/>
      <c r="M65" s="1303"/>
      <c r="N65" s="1303"/>
      <c r="O65" s="1303"/>
      <c r="P65" s="1303"/>
      <c r="Q65" s="1304"/>
      <c r="R65" s="554" t="s">
        <v>752</v>
      </c>
      <c r="S65" s="382" t="s">
        <v>628</v>
      </c>
      <c r="T65" s="378"/>
      <c r="U65" s="378"/>
      <c r="V65" s="378"/>
      <c r="W65" s="388"/>
      <c r="X65" s="380"/>
      <c r="Y65" s="380"/>
      <c r="Z65" s="380"/>
      <c r="AA65" s="380"/>
      <c r="AB65" s="380"/>
      <c r="AC65" s="380"/>
      <c r="AD65" s="385"/>
      <c r="AE65" s="198"/>
      <c r="AF65" s="198"/>
      <c r="AG65" s="198"/>
      <c r="AH65" s="198"/>
      <c r="AI65" s="198"/>
      <c r="AJ65" s="198"/>
      <c r="AK65" s="198"/>
      <c r="AL65" s="198"/>
      <c r="AM65" s="198"/>
      <c r="AN65" s="198"/>
      <c r="AO65" s="198"/>
      <c r="AP65" s="198"/>
      <c r="AQ65" s="198"/>
      <c r="AR65" s="198"/>
      <c r="AS65" s="198"/>
      <c r="AT65" s="198"/>
      <c r="AU65" s="198"/>
      <c r="AV65" s="198"/>
      <c r="AW65" s="198"/>
      <c r="AX65" s="198"/>
      <c r="AY65" s="198"/>
      <c r="AZ65" s="124"/>
      <c r="BA65" s="333" t="str">
        <f t="shared" si="1"/>
        <v/>
      </c>
      <c r="BB65" s="333" t="str">
        <f t="shared" si="9"/>
        <v/>
      </c>
      <c r="BC65" s="333" t="str">
        <f>S292</f>
        <v/>
      </c>
      <c r="BD65" s="200"/>
    </row>
    <row r="66" spans="1:56" s="352" customFormat="1" ht="25.15" customHeight="1" x14ac:dyDescent="0.25">
      <c r="A66" s="1269" t="s">
        <v>629</v>
      </c>
      <c r="B66" s="1270"/>
      <c r="C66" s="1270"/>
      <c r="D66" s="1270"/>
      <c r="E66" s="1270"/>
      <c r="F66" s="1270"/>
      <c r="G66" s="1270"/>
      <c r="H66" s="1270"/>
      <c r="I66" s="1270"/>
      <c r="J66" s="1270"/>
      <c r="K66" s="1270"/>
      <c r="L66" s="1271"/>
      <c r="M66" s="1272"/>
      <c r="N66" s="1273"/>
      <c r="O66" s="1273"/>
      <c r="P66" s="1273"/>
      <c r="Q66" s="1274"/>
      <c r="R66" s="554" t="s">
        <v>752</v>
      </c>
      <c r="S66" s="383" t="str">
        <f>IF(ISBLANK(M66),"",VLOOKUP(M66,VRemote,2,FALSE))</f>
        <v/>
      </c>
      <c r="T66" s="384" t="s">
        <v>630</v>
      </c>
      <c r="U66" s="378"/>
      <c r="V66" s="378"/>
      <c r="W66" s="378"/>
      <c r="X66" s="380"/>
      <c r="Y66" s="380"/>
      <c r="Z66" s="380"/>
      <c r="AA66" s="380"/>
      <c r="AB66" s="380"/>
      <c r="AC66" s="380"/>
      <c r="AD66" s="385"/>
      <c r="AE66" s="198"/>
      <c r="AF66" s="198"/>
      <c r="AG66" s="198"/>
      <c r="AH66" s="198"/>
      <c r="AI66" s="198"/>
      <c r="AJ66" s="198"/>
      <c r="AK66" s="198"/>
      <c r="AL66" s="198"/>
      <c r="AM66" s="198"/>
      <c r="AN66" s="198"/>
      <c r="AO66" s="198"/>
      <c r="AP66" s="198"/>
      <c r="AQ66" s="198"/>
      <c r="AR66" s="198"/>
      <c r="AS66" s="198"/>
      <c r="AT66" s="198"/>
      <c r="AU66" s="198"/>
      <c r="AV66" s="198"/>
      <c r="AW66" s="198"/>
      <c r="AX66" s="198"/>
      <c r="AY66" s="198"/>
      <c r="AZ66" s="124"/>
      <c r="BA66" s="356" t="str">
        <f t="shared" si="1"/>
        <v/>
      </c>
      <c r="BB66" s="356" t="str">
        <f t="shared" ref="BB66:BB74" si="10">IF(BC66="","",$Q$307)</f>
        <v/>
      </c>
      <c r="BC66" s="356" t="str">
        <f>S322</f>
        <v/>
      </c>
      <c r="BD66" s="195" t="s">
        <v>654</v>
      </c>
    </row>
    <row r="67" spans="1:56" s="352" customFormat="1" ht="25.15" customHeight="1" x14ac:dyDescent="0.25">
      <c r="A67" s="1269" t="s">
        <v>631</v>
      </c>
      <c r="B67" s="1270"/>
      <c r="C67" s="1270"/>
      <c r="D67" s="1270"/>
      <c r="E67" s="1270"/>
      <c r="F67" s="1270"/>
      <c r="G67" s="1270"/>
      <c r="H67" s="1270"/>
      <c r="I67" s="1270"/>
      <c r="J67" s="1270"/>
      <c r="K67" s="1270"/>
      <c r="L67" s="1270"/>
      <c r="M67" s="1272"/>
      <c r="N67" s="1273"/>
      <c r="O67" s="1273"/>
      <c r="P67" s="1273"/>
      <c r="Q67" s="1274"/>
      <c r="R67" s="554" t="s">
        <v>752</v>
      </c>
      <c r="S67" s="383" t="str">
        <f>IF(ISBLANK(M67),"",VLOOKUP(M67,VCapacity,2,FALSE))</f>
        <v/>
      </c>
      <c r="T67" s="151" t="s">
        <v>632</v>
      </c>
      <c r="U67" s="380"/>
      <c r="V67" s="380"/>
      <c r="W67" s="380"/>
      <c r="X67" s="380"/>
      <c r="Y67" s="380"/>
      <c r="Z67" s="380"/>
      <c r="AA67" s="380"/>
      <c r="AB67" s="380"/>
      <c r="AC67" s="380"/>
      <c r="AD67" s="385"/>
      <c r="AE67" s="198"/>
      <c r="AF67" s="198"/>
      <c r="AG67" s="198"/>
      <c r="AH67" s="198"/>
      <c r="AI67" s="198"/>
      <c r="AJ67" s="198"/>
      <c r="AK67" s="198"/>
      <c r="AL67" s="198"/>
      <c r="AM67" s="198"/>
      <c r="AN67" s="198"/>
      <c r="AO67" s="198"/>
      <c r="AP67" s="198"/>
      <c r="AQ67" s="198"/>
      <c r="AR67" s="198"/>
      <c r="AS67" s="198"/>
      <c r="AT67" s="198"/>
      <c r="AU67" s="198"/>
      <c r="AV67" s="198"/>
      <c r="AW67" s="198"/>
      <c r="AX67" s="198"/>
      <c r="AY67" s="198"/>
      <c r="AZ67" s="124"/>
      <c r="BA67" s="356" t="str">
        <f t="shared" ref="BA67:BA110" si="11">IF(BC67="","",$O$6)</f>
        <v/>
      </c>
      <c r="BB67" s="356" t="str">
        <f t="shared" si="10"/>
        <v/>
      </c>
      <c r="BC67" s="356" t="str">
        <f>T322</f>
        <v/>
      </c>
      <c r="BD67" s="256"/>
    </row>
    <row r="68" spans="1:56" s="352" customFormat="1" ht="25.15" customHeight="1" x14ac:dyDescent="0.25">
      <c r="A68" s="1269" t="s">
        <v>633</v>
      </c>
      <c r="B68" s="1270"/>
      <c r="C68" s="1270"/>
      <c r="D68" s="1270"/>
      <c r="E68" s="1270"/>
      <c r="F68" s="1270"/>
      <c r="G68" s="1270"/>
      <c r="H68" s="1270"/>
      <c r="I68" s="1270"/>
      <c r="J68" s="1270"/>
      <c r="K68" s="1270"/>
      <c r="L68" s="1270"/>
      <c r="M68" s="1272"/>
      <c r="N68" s="1273"/>
      <c r="O68" s="1273"/>
      <c r="P68" s="1273"/>
      <c r="Q68" s="1274"/>
      <c r="R68" s="554" t="s">
        <v>752</v>
      </c>
      <c r="S68" s="383" t="str">
        <f>IF(ISBLANK(M68),"",VLOOKUP(M68,VPriorCap,2,FALSE))</f>
        <v/>
      </c>
      <c r="T68" s="151" t="s">
        <v>634</v>
      </c>
      <c r="U68" s="380"/>
      <c r="V68" s="380"/>
      <c r="W68" s="380"/>
      <c r="X68" s="380"/>
      <c r="Y68" s="380"/>
      <c r="Z68" s="380"/>
      <c r="AA68" s="380"/>
      <c r="AB68" s="380"/>
      <c r="AC68" s="380"/>
      <c r="AD68" s="385"/>
      <c r="AE68" s="198"/>
      <c r="AF68" s="198"/>
      <c r="AG68" s="198"/>
      <c r="AH68" s="198"/>
      <c r="AI68" s="198"/>
      <c r="AJ68" s="198"/>
      <c r="AK68" s="198"/>
      <c r="AL68" s="198"/>
      <c r="AM68" s="198"/>
      <c r="AN68" s="198"/>
      <c r="AO68" s="198"/>
      <c r="AP68" s="198"/>
      <c r="AQ68" s="198"/>
      <c r="AR68" s="198"/>
      <c r="AS68" s="198"/>
      <c r="AT68" s="198"/>
      <c r="AU68" s="198"/>
      <c r="AV68" s="198"/>
      <c r="AW68" s="198"/>
      <c r="AX68" s="198"/>
      <c r="AY68" s="198"/>
      <c r="AZ68" s="124"/>
      <c r="BA68" s="356" t="str">
        <f t="shared" si="11"/>
        <v/>
      </c>
      <c r="BB68" s="356" t="str">
        <f t="shared" si="10"/>
        <v/>
      </c>
      <c r="BC68" s="356" t="str">
        <f>U322</f>
        <v/>
      </c>
      <c r="BD68" s="256"/>
    </row>
    <row r="69" spans="1:56" s="352" customFormat="1" ht="25.15" customHeight="1" x14ac:dyDescent="0.25">
      <c r="A69" s="1286" t="s">
        <v>636</v>
      </c>
      <c r="B69" s="1287"/>
      <c r="C69" s="1287"/>
      <c r="D69" s="1287"/>
      <c r="E69" s="1287"/>
      <c r="F69" s="1287"/>
      <c r="G69" s="1287"/>
      <c r="H69" s="1287"/>
      <c r="I69" s="1287"/>
      <c r="J69" s="1287"/>
      <c r="K69" s="1287"/>
      <c r="L69" s="1287"/>
      <c r="M69" s="1287"/>
      <c r="N69" s="1287"/>
      <c r="O69" s="1287"/>
      <c r="P69" s="1287"/>
      <c r="Q69" s="1288"/>
      <c r="R69" s="554" t="s">
        <v>752</v>
      </c>
      <c r="S69" s="386" t="str">
        <f>IF(ISBLANK(A70),"",A70)</f>
        <v/>
      </c>
      <c r="T69" s="151" t="s">
        <v>583</v>
      </c>
      <c r="U69" s="380"/>
      <c r="V69" s="380"/>
      <c r="W69" s="380"/>
      <c r="X69" s="380"/>
      <c r="Y69" s="380"/>
      <c r="Z69" s="380"/>
      <c r="AA69" s="380"/>
      <c r="AB69" s="380"/>
      <c r="AC69" s="380"/>
      <c r="AD69" s="385"/>
      <c r="AE69" s="198"/>
      <c r="AF69" s="198"/>
      <c r="AG69" s="198"/>
      <c r="AH69" s="198"/>
      <c r="AI69" s="198"/>
      <c r="AJ69" s="198"/>
      <c r="AK69" s="198"/>
      <c r="AL69" s="198"/>
      <c r="AM69" s="198"/>
      <c r="AN69" s="198"/>
      <c r="AO69" s="198"/>
      <c r="AP69" s="198"/>
      <c r="AQ69" s="198"/>
      <c r="AR69" s="198"/>
      <c r="AS69" s="198"/>
      <c r="AT69" s="198"/>
      <c r="AU69" s="198"/>
      <c r="AV69" s="198"/>
      <c r="AW69" s="198"/>
      <c r="AX69" s="198"/>
      <c r="AY69" s="198"/>
      <c r="AZ69" s="124"/>
      <c r="BA69" s="356" t="str">
        <f t="shared" si="11"/>
        <v/>
      </c>
      <c r="BB69" s="356" t="str">
        <f t="shared" si="10"/>
        <v/>
      </c>
      <c r="BC69" s="356" t="str">
        <f>V322</f>
        <v/>
      </c>
      <c r="BD69" s="256"/>
    </row>
    <row r="70" spans="1:56" s="352" customFormat="1" ht="25.15" customHeight="1" x14ac:dyDescent="0.25">
      <c r="A70" s="1278"/>
      <c r="B70" s="1255"/>
      <c r="C70" s="1255"/>
      <c r="D70" s="1255"/>
      <c r="E70" s="1255"/>
      <c r="F70" s="1255"/>
      <c r="G70" s="1255"/>
      <c r="H70" s="1255"/>
      <c r="I70" s="1255"/>
      <c r="J70" s="1255"/>
      <c r="K70" s="1255"/>
      <c r="L70" s="1255"/>
      <c r="M70" s="1255"/>
      <c r="N70" s="1255"/>
      <c r="O70" s="1255"/>
      <c r="P70" s="1255"/>
      <c r="Q70" s="1285"/>
      <c r="R70" s="554" t="s">
        <v>752</v>
      </c>
      <c r="S70" s="380"/>
      <c r="T70" s="380"/>
      <c r="U70" s="380"/>
      <c r="V70" s="380"/>
      <c r="W70" s="380"/>
      <c r="X70" s="380"/>
      <c r="Y70" s="380"/>
      <c r="Z70" s="380"/>
      <c r="AA70" s="380"/>
      <c r="AB70" s="380"/>
      <c r="AC70" s="380"/>
      <c r="AD70" s="385"/>
      <c r="AE70" s="198"/>
      <c r="AF70" s="198"/>
      <c r="AG70" s="198"/>
      <c r="AH70" s="198"/>
      <c r="AI70" s="198"/>
      <c r="AJ70" s="198"/>
      <c r="AK70" s="198"/>
      <c r="AL70" s="198"/>
      <c r="AM70" s="198"/>
      <c r="AN70" s="198"/>
      <c r="AO70" s="198"/>
      <c r="AP70" s="198"/>
      <c r="AQ70" s="198"/>
      <c r="AR70" s="198"/>
      <c r="AS70" s="198"/>
      <c r="AT70" s="198"/>
      <c r="AU70" s="198"/>
      <c r="AV70" s="198"/>
      <c r="AW70" s="198"/>
      <c r="AX70" s="198"/>
      <c r="AY70" s="198"/>
      <c r="AZ70" s="124"/>
      <c r="BA70" s="356" t="str">
        <f t="shared" si="11"/>
        <v/>
      </c>
      <c r="BB70" s="356" t="str">
        <f t="shared" si="10"/>
        <v/>
      </c>
      <c r="BC70" s="356" t="str">
        <f>S324</f>
        <v/>
      </c>
      <c r="BD70" s="256"/>
    </row>
    <row r="71" spans="1:56" s="352" customFormat="1" ht="25.15" customHeight="1" x14ac:dyDescent="0.25">
      <c r="A71" s="1289"/>
      <c r="B71" s="1290"/>
      <c r="C71" s="1290"/>
      <c r="D71" s="1290"/>
      <c r="E71" s="1290"/>
      <c r="F71" s="1290"/>
      <c r="G71" s="1290"/>
      <c r="H71" s="1290"/>
      <c r="I71" s="1290"/>
      <c r="J71" s="1290"/>
      <c r="K71" s="1290"/>
      <c r="L71" s="1290"/>
      <c r="M71" s="1290"/>
      <c r="N71" s="1290"/>
      <c r="O71" s="1290"/>
      <c r="P71" s="1290"/>
      <c r="Q71" s="1291"/>
      <c r="R71" s="554" t="s">
        <v>752</v>
      </c>
      <c r="S71" s="380"/>
      <c r="T71" s="380"/>
      <c r="U71" s="380"/>
      <c r="V71" s="380"/>
      <c r="W71" s="380"/>
      <c r="X71" s="380"/>
      <c r="Y71" s="380"/>
      <c r="Z71" s="380"/>
      <c r="AA71" s="198"/>
      <c r="AB71" s="198"/>
      <c r="AC71" s="198"/>
      <c r="AD71" s="385"/>
      <c r="AE71" s="198"/>
      <c r="AF71" s="198"/>
      <c r="AG71" s="198"/>
      <c r="AH71" s="198"/>
      <c r="AI71" s="198"/>
      <c r="AJ71" s="198"/>
      <c r="AK71" s="198"/>
      <c r="AL71" s="198"/>
      <c r="AM71" s="198"/>
      <c r="AN71" s="198"/>
      <c r="AO71" s="198"/>
      <c r="AP71" s="198"/>
      <c r="AQ71" s="198"/>
      <c r="AR71" s="198"/>
      <c r="AS71" s="198"/>
      <c r="AT71" s="198"/>
      <c r="AU71" s="198"/>
      <c r="AV71" s="198"/>
      <c r="AW71" s="198"/>
      <c r="AX71" s="198"/>
      <c r="AY71" s="198"/>
      <c r="AZ71" s="124"/>
      <c r="BA71" s="356" t="str">
        <f t="shared" si="11"/>
        <v/>
      </c>
      <c r="BB71" s="356" t="str">
        <f t="shared" si="10"/>
        <v/>
      </c>
      <c r="BC71" s="356" t="str">
        <f>S325</f>
        <v/>
      </c>
      <c r="BD71" s="256"/>
    </row>
    <row r="72" spans="1:56" s="352" customFormat="1" ht="25.15" customHeight="1" x14ac:dyDescent="0.25">
      <c r="A72" s="1292" t="s">
        <v>638</v>
      </c>
      <c r="B72" s="1293"/>
      <c r="C72" s="1293"/>
      <c r="D72" s="1293"/>
      <c r="E72" s="1293"/>
      <c r="F72" s="1293"/>
      <c r="G72" s="1293"/>
      <c r="H72" s="1293"/>
      <c r="I72" s="1293"/>
      <c r="J72" s="1293"/>
      <c r="K72" s="1293"/>
      <c r="L72" s="1293"/>
      <c r="M72" s="1293"/>
      <c r="N72" s="1293"/>
      <c r="O72" s="1293"/>
      <c r="P72" s="1293"/>
      <c r="Q72" s="1294"/>
      <c r="R72" s="554" t="s">
        <v>752</v>
      </c>
      <c r="S72" s="382"/>
      <c r="T72" s="382"/>
      <c r="U72" s="382"/>
      <c r="V72" s="382"/>
      <c r="W72" s="380"/>
      <c r="X72" s="198"/>
      <c r="Y72" s="198"/>
      <c r="Z72" s="198"/>
      <c r="AA72" s="378"/>
      <c r="AB72" s="378"/>
      <c r="AC72" s="378"/>
      <c r="AD72" s="385"/>
      <c r="AE72" s="198"/>
      <c r="AF72" s="198"/>
      <c r="AG72" s="198"/>
      <c r="AH72" s="198"/>
      <c r="AI72" s="198"/>
      <c r="AJ72" s="198"/>
      <c r="AK72" s="198"/>
      <c r="AL72" s="198"/>
      <c r="AM72" s="198"/>
      <c r="AN72" s="198"/>
      <c r="AO72" s="198"/>
      <c r="AP72" s="198"/>
      <c r="AQ72" s="198"/>
      <c r="AR72" s="198"/>
      <c r="AS72" s="198"/>
      <c r="AT72" s="198"/>
      <c r="AU72" s="198"/>
      <c r="AV72" s="198"/>
      <c r="AW72" s="198"/>
      <c r="AX72" s="198"/>
      <c r="AY72" s="198"/>
      <c r="AZ72" s="124"/>
      <c r="BA72" s="356" t="str">
        <f t="shared" si="11"/>
        <v/>
      </c>
      <c r="BB72" s="356" t="str">
        <f t="shared" si="10"/>
        <v/>
      </c>
      <c r="BC72" s="356" t="str">
        <f>S326</f>
        <v/>
      </c>
      <c r="BD72" s="256"/>
    </row>
    <row r="73" spans="1:56" s="352" customFormat="1" ht="25.15" customHeight="1" x14ac:dyDescent="0.2">
      <c r="A73" s="1278"/>
      <c r="B73" s="1255"/>
      <c r="C73" s="1255"/>
      <c r="D73" s="1255"/>
      <c r="E73" s="1255"/>
      <c r="F73" s="1255"/>
      <c r="G73" s="1255"/>
      <c r="H73" s="1255"/>
      <c r="I73" s="1255"/>
      <c r="J73" s="1255"/>
      <c r="K73" s="1255"/>
      <c r="L73" s="1255"/>
      <c r="M73" s="1255"/>
      <c r="N73" s="1255"/>
      <c r="O73" s="1255"/>
      <c r="P73" s="1255"/>
      <c r="Q73" s="1256"/>
      <c r="R73" s="554" t="s">
        <v>752</v>
      </c>
      <c r="S73" s="386" t="str">
        <f>IF(ISBLANK(A73),"",A73)</f>
        <v/>
      </c>
      <c r="T73" s="354" t="s">
        <v>194</v>
      </c>
      <c r="U73" s="380"/>
      <c r="V73" s="380"/>
      <c r="W73" s="380"/>
      <c r="X73" s="382"/>
      <c r="Y73" s="382"/>
      <c r="Z73" s="382"/>
      <c r="AA73" s="380"/>
      <c r="AB73" s="380"/>
      <c r="AC73" s="380"/>
      <c r="AD73" s="198"/>
      <c r="AE73" s="198"/>
      <c r="AF73" s="198"/>
      <c r="AG73" s="198"/>
      <c r="AH73" s="198"/>
      <c r="AI73" s="198"/>
      <c r="AJ73" s="198"/>
      <c r="AK73" s="198"/>
      <c r="AL73" s="198"/>
      <c r="AM73" s="198"/>
      <c r="AN73" s="198"/>
      <c r="AO73" s="198"/>
      <c r="AP73" s="198"/>
      <c r="AQ73" s="198"/>
      <c r="AR73" s="198"/>
      <c r="AS73" s="198"/>
      <c r="AT73" s="198"/>
      <c r="AU73" s="198"/>
      <c r="AV73" s="198"/>
      <c r="AW73" s="198"/>
      <c r="AX73" s="198"/>
      <c r="AY73" s="198"/>
      <c r="AZ73" s="124"/>
      <c r="BA73" s="356" t="str">
        <f t="shared" si="11"/>
        <v/>
      </c>
      <c r="BB73" s="356" t="str">
        <f t="shared" si="10"/>
        <v/>
      </c>
      <c r="BC73" s="356" t="str">
        <f>S334</f>
        <v/>
      </c>
      <c r="BD73" s="256"/>
    </row>
    <row r="74" spans="1:56" s="352" customFormat="1" ht="25.15" customHeight="1" thickBot="1" x14ac:dyDescent="0.3">
      <c r="A74" s="1266"/>
      <c r="B74" s="1267"/>
      <c r="C74" s="1267"/>
      <c r="D74" s="1267"/>
      <c r="E74" s="1267"/>
      <c r="F74" s="1267"/>
      <c r="G74" s="1267"/>
      <c r="H74" s="1267"/>
      <c r="I74" s="1267"/>
      <c r="J74" s="1267"/>
      <c r="K74" s="1267"/>
      <c r="L74" s="1267"/>
      <c r="M74" s="1267"/>
      <c r="N74" s="1267"/>
      <c r="O74" s="1267"/>
      <c r="P74" s="1267"/>
      <c r="Q74" s="1268"/>
      <c r="R74" s="554" t="s">
        <v>752</v>
      </c>
      <c r="S74" s="380"/>
      <c r="T74" s="354"/>
      <c r="U74" s="380"/>
      <c r="V74" s="380"/>
      <c r="W74" s="380"/>
      <c r="X74" s="380"/>
      <c r="Y74" s="380"/>
      <c r="Z74" s="380"/>
      <c r="AA74" s="380"/>
      <c r="AB74" s="380"/>
      <c r="AC74" s="380"/>
      <c r="AD74" s="385"/>
      <c r="AE74" s="198"/>
      <c r="AF74" s="198"/>
      <c r="AG74" s="198"/>
      <c r="AH74" s="198"/>
      <c r="AI74" s="198"/>
      <c r="AJ74" s="198"/>
      <c r="AK74" s="198"/>
      <c r="AL74" s="198"/>
      <c r="AM74" s="198"/>
      <c r="AN74" s="198"/>
      <c r="AO74" s="198"/>
      <c r="AP74" s="198"/>
      <c r="AQ74" s="198"/>
      <c r="AR74" s="198"/>
      <c r="AS74" s="198"/>
      <c r="AT74" s="198"/>
      <c r="AU74" s="198"/>
      <c r="AV74" s="198"/>
      <c r="AW74" s="198"/>
      <c r="AX74" s="198"/>
      <c r="AY74" s="198"/>
      <c r="AZ74" s="124"/>
      <c r="BA74" s="356" t="str">
        <f t="shared" si="11"/>
        <v/>
      </c>
      <c r="BB74" s="356" t="str">
        <f t="shared" si="10"/>
        <v/>
      </c>
      <c r="BC74" s="356" t="str">
        <f>S335</f>
        <v/>
      </c>
      <c r="BD74" s="256"/>
    </row>
    <row r="75" spans="1:56" s="352" customFormat="1" ht="25.15" customHeight="1" x14ac:dyDescent="0.25">
      <c r="A75" s="1260" t="s">
        <v>640</v>
      </c>
      <c r="B75" s="1261"/>
      <c r="C75" s="1261"/>
      <c r="D75" s="1261"/>
      <c r="E75" s="1261"/>
      <c r="F75" s="1261"/>
      <c r="G75" s="1261"/>
      <c r="H75" s="1261"/>
      <c r="I75" s="1261"/>
      <c r="J75" s="1261"/>
      <c r="K75" s="1261"/>
      <c r="L75" s="1261"/>
      <c r="M75" s="1261"/>
      <c r="N75" s="1261"/>
      <c r="O75" s="1261"/>
      <c r="P75" s="1261"/>
      <c r="Q75" s="1262"/>
      <c r="R75" s="554" t="s">
        <v>752</v>
      </c>
      <c r="S75" s="382" t="s">
        <v>641</v>
      </c>
      <c r="T75" s="378"/>
      <c r="U75" s="378"/>
      <c r="V75" s="378"/>
      <c r="W75" s="380"/>
      <c r="X75" s="380"/>
      <c r="Y75" s="380"/>
      <c r="Z75" s="380"/>
      <c r="AA75" s="380"/>
      <c r="AB75" s="380"/>
      <c r="AC75" s="380"/>
      <c r="AD75" s="385"/>
      <c r="AE75" s="198"/>
      <c r="AF75" s="198"/>
      <c r="AG75" s="198"/>
      <c r="AH75" s="198"/>
      <c r="AI75" s="198"/>
      <c r="AJ75" s="198"/>
      <c r="AK75" s="198"/>
      <c r="AL75" s="198"/>
      <c r="AM75" s="198"/>
      <c r="AN75" s="198"/>
      <c r="AO75" s="198"/>
      <c r="AP75" s="198"/>
      <c r="AQ75" s="198"/>
      <c r="AR75" s="198"/>
      <c r="AS75" s="198"/>
      <c r="AT75" s="198"/>
      <c r="AU75" s="198"/>
      <c r="AV75" s="198"/>
      <c r="AW75" s="198"/>
      <c r="AX75" s="198"/>
      <c r="AY75" s="198"/>
      <c r="AZ75" s="124"/>
      <c r="BA75" s="333" t="str">
        <f t="shared" si="11"/>
        <v/>
      </c>
      <c r="BB75" s="333" t="str">
        <f t="shared" ref="BB75:BB83" si="12">IF(BC75="","",$Q$350)</f>
        <v/>
      </c>
      <c r="BC75" s="333" t="str">
        <f>S365</f>
        <v/>
      </c>
      <c r="BD75" s="195" t="s">
        <v>655</v>
      </c>
    </row>
    <row r="76" spans="1:56" s="352" customFormat="1" ht="25.15" customHeight="1" x14ac:dyDescent="0.25">
      <c r="A76" s="1295" t="s">
        <v>642</v>
      </c>
      <c r="B76" s="1296"/>
      <c r="C76" s="1296"/>
      <c r="D76" s="1296"/>
      <c r="E76" s="1296"/>
      <c r="F76" s="1296"/>
      <c r="G76" s="1296"/>
      <c r="H76" s="1296"/>
      <c r="I76" s="1296"/>
      <c r="J76" s="1296"/>
      <c r="K76" s="1296"/>
      <c r="L76" s="1297"/>
      <c r="M76" s="1272"/>
      <c r="N76" s="1273"/>
      <c r="O76" s="1273"/>
      <c r="P76" s="1273"/>
      <c r="Q76" s="1274"/>
      <c r="R76" s="554" t="s">
        <v>752</v>
      </c>
      <c r="S76" s="387" t="str">
        <f>IF(ISBLANK(M76),"",VLOOKUP(M76,VImpact,2,FALSE))</f>
        <v/>
      </c>
      <c r="T76" s="151" t="s">
        <v>643</v>
      </c>
      <c r="U76" s="380"/>
      <c r="V76" s="380"/>
      <c r="W76" s="198"/>
      <c r="X76" s="380"/>
      <c r="Y76" s="380"/>
      <c r="Z76" s="380"/>
      <c r="AA76" s="380"/>
      <c r="AB76" s="380"/>
      <c r="AC76" s="380"/>
      <c r="AD76" s="385"/>
      <c r="AE76" s="198"/>
      <c r="AF76" s="198"/>
      <c r="AG76" s="198"/>
      <c r="AH76" s="198"/>
      <c r="AI76" s="198"/>
      <c r="AJ76" s="198"/>
      <c r="AK76" s="198"/>
      <c r="AL76" s="198"/>
      <c r="AM76" s="198"/>
      <c r="AN76" s="198"/>
      <c r="AO76" s="198"/>
      <c r="AP76" s="198"/>
      <c r="AQ76" s="198"/>
      <c r="AR76" s="198"/>
      <c r="AS76" s="198"/>
      <c r="AT76" s="198"/>
      <c r="AU76" s="198"/>
      <c r="AV76" s="198"/>
      <c r="AW76" s="198"/>
      <c r="AX76" s="198"/>
      <c r="AY76" s="198"/>
      <c r="AZ76" s="124"/>
      <c r="BA76" s="333" t="str">
        <f t="shared" si="11"/>
        <v/>
      </c>
      <c r="BB76" s="333" t="str">
        <f t="shared" si="12"/>
        <v/>
      </c>
      <c r="BC76" s="333" t="str">
        <f>T365</f>
        <v/>
      </c>
      <c r="BD76" s="200"/>
    </row>
    <row r="77" spans="1:56" s="352" customFormat="1" ht="25.15" customHeight="1" x14ac:dyDescent="0.25">
      <c r="A77" s="1269" t="s">
        <v>644</v>
      </c>
      <c r="B77" s="1270"/>
      <c r="C77" s="1270"/>
      <c r="D77" s="1270"/>
      <c r="E77" s="1270"/>
      <c r="F77" s="1270"/>
      <c r="G77" s="1270"/>
      <c r="H77" s="1270"/>
      <c r="I77" s="1270"/>
      <c r="J77" s="1270"/>
      <c r="K77" s="1270"/>
      <c r="L77" s="1271"/>
      <c r="M77" s="1272"/>
      <c r="N77" s="1273"/>
      <c r="O77" s="1273"/>
      <c r="P77" s="1273"/>
      <c r="Q77" s="1274"/>
      <c r="R77" s="554" t="s">
        <v>752</v>
      </c>
      <c r="S77" s="387" t="str">
        <f>IF(ISBLANK(M77),"",VLOOKUP(M77,VEvidence,2,FALSE))</f>
        <v/>
      </c>
      <c r="T77" s="233" t="s">
        <v>645</v>
      </c>
      <c r="U77" s="380"/>
      <c r="V77" s="380"/>
      <c r="W77" s="382"/>
      <c r="X77" s="380"/>
      <c r="Y77" s="380"/>
      <c r="Z77" s="380"/>
      <c r="AA77" s="380"/>
      <c r="AB77" s="380"/>
      <c r="AC77" s="380"/>
      <c r="AD77" s="385"/>
      <c r="AE77" s="198"/>
      <c r="AF77" s="198"/>
      <c r="AG77" s="198"/>
      <c r="AH77" s="198"/>
      <c r="AI77" s="198"/>
      <c r="AJ77" s="198"/>
      <c r="AK77" s="198"/>
      <c r="AL77" s="198"/>
      <c r="AM77" s="198"/>
      <c r="AN77" s="198"/>
      <c r="AO77" s="198"/>
      <c r="AP77" s="198"/>
      <c r="AQ77" s="198"/>
      <c r="AR77" s="198"/>
      <c r="AS77" s="198"/>
      <c r="AT77" s="198"/>
      <c r="AU77" s="198"/>
      <c r="AV77" s="198"/>
      <c r="AW77" s="198"/>
      <c r="AX77" s="198"/>
      <c r="AY77" s="198"/>
      <c r="AZ77" s="124"/>
      <c r="BA77" s="333" t="str">
        <f t="shared" si="11"/>
        <v/>
      </c>
      <c r="BB77" s="333" t="str">
        <f t="shared" si="12"/>
        <v/>
      </c>
      <c r="BC77" s="333" t="str">
        <f>U365</f>
        <v/>
      </c>
      <c r="BD77" s="256"/>
    </row>
    <row r="78" spans="1:56" s="352" customFormat="1" ht="25.15" customHeight="1" x14ac:dyDescent="0.25">
      <c r="A78" s="1275" t="s">
        <v>646</v>
      </c>
      <c r="B78" s="1276"/>
      <c r="C78" s="1276"/>
      <c r="D78" s="1276"/>
      <c r="E78" s="1276"/>
      <c r="F78" s="1276"/>
      <c r="G78" s="1276"/>
      <c r="H78" s="1276"/>
      <c r="I78" s="1276"/>
      <c r="J78" s="1276"/>
      <c r="K78" s="1276"/>
      <c r="L78" s="1276"/>
      <c r="M78" s="1276"/>
      <c r="N78" s="1276"/>
      <c r="O78" s="1276"/>
      <c r="P78" s="1276"/>
      <c r="Q78" s="1277"/>
      <c r="R78" s="554" t="s">
        <v>752</v>
      </c>
      <c r="S78" s="386" t="str">
        <f>IF(ISBLANK(A79),"",A79)</f>
        <v/>
      </c>
      <c r="T78" s="354" t="s">
        <v>193</v>
      </c>
      <c r="U78" s="380"/>
      <c r="V78" s="380"/>
      <c r="W78" s="380"/>
      <c r="X78" s="380"/>
      <c r="Y78" s="380"/>
      <c r="Z78" s="380"/>
      <c r="AA78" s="380"/>
      <c r="AB78" s="380"/>
      <c r="AC78" s="380"/>
      <c r="AD78" s="385"/>
      <c r="AE78" s="198"/>
      <c r="AF78" s="198"/>
      <c r="AG78" s="198"/>
      <c r="AH78" s="198"/>
      <c r="AI78" s="198"/>
      <c r="AJ78" s="198"/>
      <c r="AK78" s="198"/>
      <c r="AL78" s="198"/>
      <c r="AM78" s="198"/>
      <c r="AN78" s="198"/>
      <c r="AO78" s="198"/>
      <c r="AP78" s="198"/>
      <c r="AQ78" s="198"/>
      <c r="AR78" s="198"/>
      <c r="AS78" s="198"/>
      <c r="AT78" s="198"/>
      <c r="AU78" s="198"/>
      <c r="AV78" s="198"/>
      <c r="AW78" s="198"/>
      <c r="AX78" s="198"/>
      <c r="AY78" s="198"/>
      <c r="AZ78" s="124"/>
      <c r="BA78" s="333" t="str">
        <f t="shared" si="11"/>
        <v/>
      </c>
      <c r="BB78" s="333" t="str">
        <f t="shared" si="12"/>
        <v/>
      </c>
      <c r="BC78" s="333" t="str">
        <f>V365</f>
        <v/>
      </c>
      <c r="BD78" s="256"/>
    </row>
    <row r="79" spans="1:56" ht="25.15" customHeight="1" x14ac:dyDescent="0.25">
      <c r="A79" s="1278"/>
      <c r="B79" s="1255"/>
      <c r="C79" s="1255"/>
      <c r="D79" s="1255"/>
      <c r="E79" s="1255"/>
      <c r="F79" s="1255"/>
      <c r="G79" s="1255"/>
      <c r="H79" s="1255"/>
      <c r="I79" s="1255"/>
      <c r="J79" s="1255"/>
      <c r="K79" s="1255"/>
      <c r="L79" s="1255"/>
      <c r="M79" s="1255"/>
      <c r="N79" s="1255"/>
      <c r="O79" s="1255"/>
      <c r="P79" s="1255"/>
      <c r="Q79" s="1256"/>
      <c r="R79" s="554" t="s">
        <v>752</v>
      </c>
      <c r="S79" s="380"/>
      <c r="T79" s="389"/>
      <c r="U79" s="380"/>
      <c r="V79" s="380"/>
      <c r="W79" s="380"/>
      <c r="X79" s="380"/>
      <c r="Y79" s="380"/>
      <c r="Z79" s="380"/>
      <c r="AA79" s="380"/>
      <c r="AB79" s="380"/>
      <c r="AC79" s="380"/>
      <c r="AD79" s="385"/>
      <c r="AE79" s="122"/>
      <c r="AF79" s="122"/>
      <c r="AG79" s="122"/>
      <c r="AH79" s="122"/>
      <c r="AI79" s="122"/>
      <c r="AJ79" s="122"/>
      <c r="AK79" s="122"/>
      <c r="AL79" s="122"/>
      <c r="AM79" s="122"/>
      <c r="AN79" s="122"/>
      <c r="AO79" s="122"/>
      <c r="AP79" s="122"/>
      <c r="AQ79" s="122"/>
      <c r="AR79" s="122"/>
      <c r="AS79" s="122"/>
      <c r="AT79" s="122"/>
      <c r="AU79" s="122"/>
      <c r="AV79" s="122"/>
      <c r="AW79" s="122"/>
      <c r="AX79" s="122"/>
      <c r="AY79" s="122"/>
      <c r="AZ79" s="124"/>
      <c r="BA79" s="333" t="str">
        <f t="shared" si="11"/>
        <v/>
      </c>
      <c r="BB79" s="333" t="str">
        <f t="shared" si="12"/>
        <v/>
      </c>
      <c r="BC79" s="333" t="str">
        <f>S367</f>
        <v/>
      </c>
    </row>
    <row r="80" spans="1:56" ht="25.15" customHeight="1" x14ac:dyDescent="0.25">
      <c r="A80" s="1279"/>
      <c r="B80" s="1280"/>
      <c r="C80" s="1280"/>
      <c r="D80" s="1280"/>
      <c r="E80" s="1280"/>
      <c r="F80" s="1280"/>
      <c r="G80" s="1280"/>
      <c r="H80" s="1280"/>
      <c r="I80" s="1280"/>
      <c r="J80" s="1280"/>
      <c r="K80" s="1280"/>
      <c r="L80" s="1280"/>
      <c r="M80" s="1280"/>
      <c r="N80" s="1280"/>
      <c r="O80" s="1280"/>
      <c r="P80" s="1280"/>
      <c r="Q80" s="1281"/>
      <c r="R80" s="554" t="s">
        <v>752</v>
      </c>
      <c r="S80" s="380"/>
      <c r="T80" s="389"/>
      <c r="U80" s="380"/>
      <c r="V80" s="380"/>
      <c r="W80" s="380"/>
      <c r="X80" s="380"/>
      <c r="Y80" s="380"/>
      <c r="Z80" s="380"/>
      <c r="AA80" s="380"/>
      <c r="AB80" s="380"/>
      <c r="AC80" s="380"/>
      <c r="AD80" s="385"/>
      <c r="AE80" s="122"/>
      <c r="AF80" s="122"/>
      <c r="AG80" s="122"/>
      <c r="AH80" s="122"/>
      <c r="AI80" s="122"/>
      <c r="AJ80" s="122"/>
      <c r="AK80" s="122"/>
      <c r="AL80" s="122"/>
      <c r="AM80" s="122"/>
      <c r="AN80" s="122"/>
      <c r="AO80" s="122"/>
      <c r="AP80" s="122"/>
      <c r="AQ80" s="122"/>
      <c r="AR80" s="122"/>
      <c r="AS80" s="122"/>
      <c r="AT80" s="122"/>
      <c r="AU80" s="122"/>
      <c r="AV80" s="122"/>
      <c r="AW80" s="122"/>
      <c r="AX80" s="122"/>
      <c r="AY80" s="122"/>
      <c r="AZ80" s="124"/>
      <c r="BA80" s="333" t="str">
        <f t="shared" si="11"/>
        <v/>
      </c>
      <c r="BB80" s="333" t="str">
        <f t="shared" si="12"/>
        <v/>
      </c>
      <c r="BC80" s="333" t="str">
        <f>S368</f>
        <v/>
      </c>
    </row>
    <row r="81" spans="1:56" ht="25.15" customHeight="1" x14ac:dyDescent="0.25">
      <c r="A81" s="1282" t="s">
        <v>647</v>
      </c>
      <c r="B81" s="1283"/>
      <c r="C81" s="1283"/>
      <c r="D81" s="1283"/>
      <c r="E81" s="1283"/>
      <c r="F81" s="1283"/>
      <c r="G81" s="1283"/>
      <c r="H81" s="1283"/>
      <c r="I81" s="1283"/>
      <c r="J81" s="1283"/>
      <c r="K81" s="1283"/>
      <c r="L81" s="1283"/>
      <c r="M81" s="1283"/>
      <c r="N81" s="1283"/>
      <c r="O81" s="1283"/>
      <c r="P81" s="1283"/>
      <c r="Q81" s="1284"/>
      <c r="R81" s="554" t="s">
        <v>752</v>
      </c>
      <c r="S81" s="386" t="str">
        <f>IF(ISBLANK(A82),"",A82)</f>
        <v/>
      </c>
      <c r="T81" s="389" t="s">
        <v>584</v>
      </c>
      <c r="U81" s="380"/>
      <c r="V81" s="380"/>
      <c r="W81" s="380"/>
      <c r="X81" s="380"/>
      <c r="Y81" s="380"/>
      <c r="Z81" s="380"/>
      <c r="AA81" s="380"/>
      <c r="AB81" s="380"/>
      <c r="AC81" s="380"/>
      <c r="AD81" s="385"/>
      <c r="AE81" s="122"/>
      <c r="AF81" s="122"/>
      <c r="AG81" s="122"/>
      <c r="AH81" s="122"/>
      <c r="AI81" s="122"/>
      <c r="AJ81" s="122"/>
      <c r="AK81" s="122"/>
      <c r="AL81" s="122"/>
      <c r="AM81" s="122"/>
      <c r="AN81" s="122"/>
      <c r="AO81" s="122"/>
      <c r="AP81" s="122"/>
      <c r="AQ81" s="122"/>
      <c r="AR81" s="122"/>
      <c r="AS81" s="122"/>
      <c r="AT81" s="122"/>
      <c r="AU81" s="122"/>
      <c r="AV81" s="122"/>
      <c r="AW81" s="122"/>
      <c r="AX81" s="122"/>
      <c r="AY81" s="122"/>
      <c r="AZ81" s="124"/>
      <c r="BA81" s="333" t="str">
        <f t="shared" si="11"/>
        <v/>
      </c>
      <c r="BB81" s="333" t="str">
        <f t="shared" si="12"/>
        <v/>
      </c>
      <c r="BC81" s="333" t="str">
        <f>S369</f>
        <v/>
      </c>
    </row>
    <row r="82" spans="1:56" ht="25.15" customHeight="1" x14ac:dyDescent="0.25">
      <c r="A82" s="1278"/>
      <c r="B82" s="1255"/>
      <c r="C82" s="1255"/>
      <c r="D82" s="1255"/>
      <c r="E82" s="1255"/>
      <c r="F82" s="1255"/>
      <c r="G82" s="1255"/>
      <c r="H82" s="1255"/>
      <c r="I82" s="1255"/>
      <c r="J82" s="1255"/>
      <c r="K82" s="1255"/>
      <c r="L82" s="1255"/>
      <c r="M82" s="1255"/>
      <c r="N82" s="1255"/>
      <c r="O82" s="1255"/>
      <c r="P82" s="1255"/>
      <c r="Q82" s="1285"/>
      <c r="R82" s="554" t="s">
        <v>752</v>
      </c>
      <c r="U82" s="380"/>
      <c r="V82" s="380"/>
      <c r="W82" s="380"/>
      <c r="X82" s="198"/>
      <c r="Y82" s="198"/>
      <c r="Z82" s="198"/>
      <c r="AA82" s="388"/>
      <c r="AB82" s="388"/>
      <c r="AC82" s="388"/>
      <c r="AD82" s="385"/>
      <c r="AE82" s="122"/>
      <c r="AF82" s="122"/>
      <c r="AG82" s="122"/>
      <c r="AH82" s="122"/>
      <c r="AI82" s="122"/>
      <c r="AJ82" s="122"/>
      <c r="AK82" s="122"/>
      <c r="AL82" s="122"/>
      <c r="AM82" s="122"/>
      <c r="AN82" s="122"/>
      <c r="AO82" s="122"/>
      <c r="AP82" s="122"/>
      <c r="AQ82" s="122"/>
      <c r="AR82" s="122"/>
      <c r="AS82" s="122"/>
      <c r="AT82" s="122"/>
      <c r="AU82" s="122"/>
      <c r="AV82" s="122"/>
      <c r="AW82" s="122"/>
      <c r="AX82" s="122"/>
      <c r="AY82" s="122"/>
      <c r="AZ82" s="124"/>
      <c r="BA82" s="333" t="str">
        <f t="shared" si="11"/>
        <v/>
      </c>
      <c r="BB82" s="333" t="str">
        <f t="shared" si="12"/>
        <v/>
      </c>
      <c r="BC82" s="333" t="str">
        <f>S377</f>
        <v/>
      </c>
    </row>
    <row r="83" spans="1:56" ht="25.15" customHeight="1" thickBot="1" x14ac:dyDescent="0.3">
      <c r="A83" s="1257"/>
      <c r="B83" s="1258"/>
      <c r="C83" s="1258"/>
      <c r="D83" s="1258"/>
      <c r="E83" s="1258"/>
      <c r="F83" s="1258"/>
      <c r="G83" s="1258"/>
      <c r="H83" s="1258"/>
      <c r="I83" s="1258"/>
      <c r="J83" s="1258"/>
      <c r="K83" s="1258"/>
      <c r="L83" s="1258"/>
      <c r="M83" s="1258"/>
      <c r="N83" s="1258"/>
      <c r="O83" s="1258"/>
      <c r="P83" s="1258"/>
      <c r="Q83" s="1259"/>
      <c r="R83" s="554" t="s">
        <v>752</v>
      </c>
      <c r="S83" s="380"/>
      <c r="T83" s="380"/>
      <c r="U83" s="380"/>
      <c r="V83" s="380"/>
      <c r="W83" s="380"/>
      <c r="X83" s="378"/>
      <c r="Y83" s="378"/>
      <c r="Z83" s="378"/>
      <c r="AA83" s="378"/>
      <c r="AB83" s="378"/>
      <c r="AC83" s="378"/>
      <c r="AD83" s="385"/>
      <c r="AE83" s="122"/>
      <c r="AF83" s="122"/>
      <c r="AG83" s="122"/>
      <c r="AH83" s="122"/>
      <c r="AI83" s="122"/>
      <c r="AJ83" s="122"/>
      <c r="AK83" s="122"/>
      <c r="AL83" s="122"/>
      <c r="AM83" s="122"/>
      <c r="AN83" s="122"/>
      <c r="AO83" s="122"/>
      <c r="AP83" s="122"/>
      <c r="AQ83" s="122"/>
      <c r="AR83" s="122"/>
      <c r="AS83" s="122"/>
      <c r="AT83" s="122"/>
      <c r="AU83" s="122"/>
      <c r="AV83" s="122"/>
      <c r="AW83" s="122"/>
      <c r="AX83" s="122"/>
      <c r="AY83" s="122"/>
      <c r="AZ83" s="124"/>
      <c r="BA83" s="333" t="str">
        <f t="shared" si="11"/>
        <v/>
      </c>
      <c r="BB83" s="333" t="str">
        <f t="shared" si="12"/>
        <v/>
      </c>
      <c r="BC83" s="333" t="str">
        <f>S378</f>
        <v/>
      </c>
      <c r="BD83" s="200"/>
    </row>
    <row r="84" spans="1:56" ht="25.15" customHeight="1" x14ac:dyDescent="0.2">
      <c r="A84" s="1251" t="s">
        <v>649</v>
      </c>
      <c r="B84" s="1252"/>
      <c r="C84" s="1252"/>
      <c r="D84" s="1252"/>
      <c r="E84" s="1252"/>
      <c r="F84" s="1252"/>
      <c r="G84" s="1252"/>
      <c r="H84" s="1252"/>
      <c r="I84" s="1252"/>
      <c r="J84" s="1252"/>
      <c r="K84" s="1252"/>
      <c r="L84" s="1252"/>
      <c r="M84" s="1252"/>
      <c r="N84" s="1252"/>
      <c r="O84" s="1252"/>
      <c r="P84" s="1252"/>
      <c r="Q84" s="1253"/>
      <c r="R84" s="554" t="s">
        <v>752</v>
      </c>
      <c r="S84" s="392" t="str">
        <f>IF(ISBLANK(A85),"",A85)</f>
        <v/>
      </c>
      <c r="T84" s="393" t="s">
        <v>650</v>
      </c>
      <c r="W84" s="380"/>
      <c r="X84" s="380"/>
      <c r="Y84" s="380"/>
      <c r="Z84" s="380"/>
      <c r="AA84" s="380"/>
      <c r="AB84" s="380"/>
      <c r="AC84" s="380"/>
      <c r="AD84" s="198"/>
      <c r="AE84" s="122"/>
      <c r="AF84" s="122"/>
      <c r="AG84" s="122"/>
      <c r="AH84" s="122"/>
      <c r="AI84" s="122"/>
      <c r="AJ84" s="122"/>
      <c r="AK84" s="122"/>
      <c r="AL84" s="122"/>
      <c r="AM84" s="122"/>
      <c r="AN84" s="122"/>
      <c r="AO84" s="122"/>
      <c r="AP84" s="122"/>
      <c r="AQ84" s="122"/>
      <c r="AR84" s="122"/>
      <c r="AS84" s="122"/>
      <c r="AT84" s="122"/>
      <c r="AU84" s="122"/>
      <c r="AV84" s="122"/>
      <c r="AW84" s="122"/>
      <c r="AX84" s="122"/>
      <c r="AY84" s="122"/>
      <c r="AZ84" s="124"/>
      <c r="BA84" s="356" t="str">
        <f t="shared" si="11"/>
        <v/>
      </c>
      <c r="BB84" s="356" t="str">
        <f t="shared" ref="BB84:BB92" si="13">IF(BC84="","",$Q$393)</f>
        <v/>
      </c>
      <c r="BC84" s="356" t="str">
        <f>S408</f>
        <v/>
      </c>
      <c r="BD84" s="195" t="s">
        <v>656</v>
      </c>
    </row>
    <row r="85" spans="1:56" ht="25.15" customHeight="1" x14ac:dyDescent="0.25">
      <c r="A85" s="1278"/>
      <c r="B85" s="1255"/>
      <c r="C85" s="1255"/>
      <c r="D85" s="1255"/>
      <c r="E85" s="1255"/>
      <c r="F85" s="1255"/>
      <c r="G85" s="1255"/>
      <c r="H85" s="1255"/>
      <c r="I85" s="1255"/>
      <c r="J85" s="1255"/>
      <c r="K85" s="1255"/>
      <c r="L85" s="1255"/>
      <c r="M85" s="1255"/>
      <c r="N85" s="1255"/>
      <c r="O85" s="1255"/>
      <c r="P85" s="1255"/>
      <c r="Q85" s="1256"/>
      <c r="R85" s="554" t="s">
        <v>752</v>
      </c>
      <c r="W85" s="380"/>
      <c r="X85" s="380"/>
      <c r="Y85" s="380"/>
      <c r="Z85" s="380"/>
      <c r="AA85" s="380"/>
      <c r="AB85" s="380"/>
      <c r="AC85" s="380"/>
      <c r="AD85" s="385"/>
      <c r="AE85" s="122"/>
      <c r="AF85" s="122"/>
      <c r="AG85" s="122"/>
      <c r="AH85" s="122"/>
      <c r="AI85" s="122"/>
      <c r="AJ85" s="122"/>
      <c r="AK85" s="122"/>
      <c r="AL85" s="122"/>
      <c r="AM85" s="122"/>
      <c r="AN85" s="122"/>
      <c r="AO85" s="122"/>
      <c r="AP85" s="122"/>
      <c r="AQ85" s="122"/>
      <c r="AR85" s="122"/>
      <c r="AS85" s="122"/>
      <c r="AT85" s="122"/>
      <c r="AU85" s="122"/>
      <c r="AV85" s="122"/>
      <c r="AW85" s="122"/>
      <c r="AX85" s="122"/>
      <c r="AY85" s="122"/>
      <c r="AZ85" s="124"/>
      <c r="BA85" s="356" t="str">
        <f t="shared" si="11"/>
        <v/>
      </c>
      <c r="BB85" s="356" t="str">
        <f t="shared" si="13"/>
        <v/>
      </c>
      <c r="BC85" s="356" t="str">
        <f>T408</f>
        <v/>
      </c>
    </row>
    <row r="86" spans="1:56" ht="25.15" customHeight="1" thickBot="1" x14ac:dyDescent="0.25">
      <c r="A86" s="1257"/>
      <c r="B86" s="1258"/>
      <c r="C86" s="1258"/>
      <c r="D86" s="1258"/>
      <c r="E86" s="1258"/>
      <c r="F86" s="1258"/>
      <c r="G86" s="1258"/>
      <c r="H86" s="1258"/>
      <c r="I86" s="1258"/>
      <c r="J86" s="1258"/>
      <c r="K86" s="1258"/>
      <c r="L86" s="1258"/>
      <c r="M86" s="1258"/>
      <c r="N86" s="1258"/>
      <c r="O86" s="1258"/>
      <c r="P86" s="1258"/>
      <c r="Q86" s="1259"/>
      <c r="R86" s="554" t="s">
        <v>752</v>
      </c>
      <c r="S86" s="352"/>
      <c r="T86" s="352"/>
      <c r="U86" s="352"/>
      <c r="V86" s="352"/>
      <c r="W86" s="198"/>
      <c r="X86" s="380"/>
      <c r="Y86" s="380"/>
      <c r="Z86" s="380"/>
      <c r="AA86" s="380"/>
      <c r="AB86" s="380"/>
      <c r="AC86" s="380"/>
      <c r="AD86" s="198"/>
      <c r="AE86" s="122"/>
      <c r="AF86" s="122"/>
      <c r="AG86" s="122"/>
      <c r="AH86" s="122"/>
      <c r="AI86" s="122"/>
      <c r="AJ86" s="122"/>
      <c r="AK86" s="122"/>
      <c r="AL86" s="122"/>
      <c r="AM86" s="122"/>
      <c r="AN86" s="122"/>
      <c r="AO86" s="122"/>
      <c r="AP86" s="122"/>
      <c r="AQ86" s="122"/>
      <c r="AR86" s="122"/>
      <c r="AS86" s="122"/>
      <c r="AT86" s="122"/>
      <c r="AU86" s="122"/>
      <c r="AV86" s="122"/>
      <c r="AW86" s="122"/>
      <c r="AX86" s="122"/>
      <c r="AY86" s="122"/>
      <c r="AZ86" s="124"/>
      <c r="BA86" s="356" t="str">
        <f t="shared" si="11"/>
        <v/>
      </c>
      <c r="BB86" s="356" t="str">
        <f t="shared" si="13"/>
        <v/>
      </c>
      <c r="BC86" s="356" t="str">
        <f>U408</f>
        <v/>
      </c>
    </row>
    <row r="87" spans="1:56" ht="25.15" customHeight="1" x14ac:dyDescent="0.2">
      <c r="A87" s="1260" t="s">
        <v>651</v>
      </c>
      <c r="B87" s="1261"/>
      <c r="C87" s="1261"/>
      <c r="D87" s="1261"/>
      <c r="E87" s="1261"/>
      <c r="F87" s="1261"/>
      <c r="G87" s="1261"/>
      <c r="H87" s="1261"/>
      <c r="I87" s="1261"/>
      <c r="J87" s="1261"/>
      <c r="K87" s="1261"/>
      <c r="L87" s="1261"/>
      <c r="M87" s="1261"/>
      <c r="N87" s="1261"/>
      <c r="O87" s="1261"/>
      <c r="P87" s="1261"/>
      <c r="Q87" s="1262"/>
      <c r="R87" s="554" t="s">
        <v>752</v>
      </c>
      <c r="S87" s="395"/>
      <c r="T87" s="396"/>
      <c r="U87" s="390"/>
      <c r="V87" s="390"/>
      <c r="W87" s="378"/>
      <c r="X87" s="380"/>
      <c r="Y87" s="380"/>
      <c r="Z87" s="380"/>
      <c r="AA87" s="380"/>
      <c r="AB87" s="380"/>
      <c r="AC87" s="380"/>
      <c r="AD87" s="198"/>
      <c r="AE87" s="122"/>
      <c r="AF87" s="122"/>
      <c r="AG87" s="122"/>
      <c r="AH87" s="122"/>
      <c r="AI87" s="122"/>
      <c r="AJ87" s="122"/>
      <c r="AK87" s="122"/>
      <c r="AL87" s="122"/>
      <c r="AM87" s="122"/>
      <c r="AN87" s="122"/>
      <c r="AO87" s="122"/>
      <c r="AP87" s="122"/>
      <c r="AQ87" s="122"/>
      <c r="AR87" s="122"/>
      <c r="AS87" s="122"/>
      <c r="AT87" s="122"/>
      <c r="AU87" s="122"/>
      <c r="AV87" s="122"/>
      <c r="AW87" s="122"/>
      <c r="AX87" s="122"/>
      <c r="AY87" s="122"/>
      <c r="AZ87" s="124"/>
      <c r="BA87" s="356" t="str">
        <f t="shared" si="11"/>
        <v/>
      </c>
      <c r="BB87" s="356" t="str">
        <f t="shared" si="13"/>
        <v/>
      </c>
      <c r="BC87" s="356" t="str">
        <f>V408</f>
        <v/>
      </c>
    </row>
    <row r="88" spans="1:56" ht="25.15" customHeight="1" x14ac:dyDescent="0.2">
      <c r="A88" s="1263"/>
      <c r="B88" s="1264"/>
      <c r="C88" s="1264"/>
      <c r="D88" s="1264"/>
      <c r="E88" s="1264"/>
      <c r="F88" s="1264"/>
      <c r="G88" s="1264"/>
      <c r="H88" s="1264"/>
      <c r="I88" s="1264"/>
      <c r="J88" s="1264"/>
      <c r="K88" s="1264"/>
      <c r="L88" s="1264"/>
      <c r="M88" s="1264"/>
      <c r="N88" s="1264"/>
      <c r="O88" s="1264"/>
      <c r="P88" s="1264"/>
      <c r="Q88" s="1265"/>
      <c r="R88" s="554" t="s">
        <v>752</v>
      </c>
      <c r="S88" s="397" t="str">
        <f>IF(ISBLANK(A88),"",CONCATENATE(S87,A88))</f>
        <v/>
      </c>
      <c r="T88" s="354" t="s">
        <v>195</v>
      </c>
      <c r="U88" s="183"/>
      <c r="V88" s="183"/>
      <c r="W88" s="380"/>
      <c r="X88" s="380"/>
      <c r="Y88" s="380"/>
      <c r="Z88" s="380"/>
      <c r="AA88" s="380"/>
      <c r="AB88" s="380"/>
      <c r="AC88" s="380"/>
      <c r="AD88" s="198"/>
      <c r="AE88" s="122"/>
      <c r="AF88" s="122"/>
      <c r="AG88" s="122"/>
      <c r="AH88" s="122"/>
      <c r="AI88" s="122"/>
      <c r="AJ88" s="122"/>
      <c r="AK88" s="122"/>
      <c r="AL88" s="122"/>
      <c r="AM88" s="122"/>
      <c r="AN88" s="122"/>
      <c r="AO88" s="122"/>
      <c r="AP88" s="122"/>
      <c r="AQ88" s="122"/>
      <c r="AR88" s="122"/>
      <c r="AS88" s="122"/>
      <c r="AT88" s="122"/>
      <c r="AU88" s="122"/>
      <c r="AV88" s="122"/>
      <c r="AW88" s="122"/>
      <c r="AX88" s="122"/>
      <c r="AY88" s="122"/>
      <c r="AZ88" s="124"/>
      <c r="BA88" s="356" t="str">
        <f t="shared" si="11"/>
        <v/>
      </c>
      <c r="BB88" s="356" t="str">
        <f t="shared" si="13"/>
        <v/>
      </c>
      <c r="BC88" s="356" t="str">
        <f>S410</f>
        <v/>
      </c>
    </row>
    <row r="89" spans="1:56" ht="25.15" customHeight="1" thickBot="1" x14ac:dyDescent="0.25">
      <c r="A89" s="1266"/>
      <c r="B89" s="1267"/>
      <c r="C89" s="1267"/>
      <c r="D89" s="1267"/>
      <c r="E89" s="1267"/>
      <c r="F89" s="1267"/>
      <c r="G89" s="1267"/>
      <c r="H89" s="1267"/>
      <c r="I89" s="1267"/>
      <c r="J89" s="1267"/>
      <c r="K89" s="1267"/>
      <c r="L89" s="1267"/>
      <c r="M89" s="1267"/>
      <c r="N89" s="1267"/>
      <c r="O89" s="1267"/>
      <c r="P89" s="1267"/>
      <c r="Q89" s="1268"/>
      <c r="R89" s="554" t="s">
        <v>752</v>
      </c>
      <c r="S89" s="198"/>
      <c r="T89" s="198"/>
      <c r="U89" s="198"/>
      <c r="V89" s="198"/>
      <c r="W89" s="380"/>
      <c r="X89" s="380"/>
      <c r="Y89" s="380"/>
      <c r="Z89" s="380"/>
      <c r="AA89" s="380"/>
      <c r="AB89" s="380"/>
      <c r="AC89" s="380"/>
      <c r="AD89" s="198"/>
      <c r="AE89" s="122"/>
      <c r="AF89" s="122"/>
      <c r="AG89" s="122"/>
      <c r="AH89" s="122"/>
      <c r="AI89" s="122"/>
      <c r="AJ89" s="122"/>
      <c r="AK89" s="122"/>
      <c r="AL89" s="122"/>
      <c r="AM89" s="122"/>
      <c r="AN89" s="122"/>
      <c r="AO89" s="122"/>
      <c r="AP89" s="122"/>
      <c r="AQ89" s="122"/>
      <c r="AR89" s="122"/>
      <c r="AS89" s="122"/>
      <c r="AT89" s="122"/>
      <c r="AU89" s="122"/>
      <c r="AV89" s="122"/>
      <c r="AW89" s="122"/>
      <c r="AX89" s="122"/>
      <c r="AY89" s="122"/>
      <c r="AZ89" s="124"/>
      <c r="BA89" s="356" t="str">
        <f t="shared" si="11"/>
        <v/>
      </c>
      <c r="BB89" s="356" t="str">
        <f t="shared" si="13"/>
        <v/>
      </c>
      <c r="BC89" s="356" t="str">
        <f>S411</f>
        <v/>
      </c>
    </row>
    <row r="90" spans="1:56" ht="26.25" customHeight="1" thickBot="1" x14ac:dyDescent="0.25">
      <c r="A90" s="1369" t="e">
        <f>$A$1</f>
        <v>#N/A</v>
      </c>
      <c r="B90" s="1369"/>
      <c r="C90" s="1369"/>
      <c r="D90" s="1369"/>
      <c r="E90" s="1369"/>
      <c r="F90" s="1369"/>
      <c r="G90" s="1369"/>
      <c r="H90" s="1369"/>
      <c r="I90" s="1369"/>
      <c r="J90" s="1369"/>
      <c r="K90" s="1369"/>
      <c r="L90" s="1369"/>
      <c r="M90" s="1369"/>
      <c r="N90" s="1369"/>
      <c r="O90" s="1369"/>
      <c r="P90" s="1369"/>
      <c r="Q90" s="1369"/>
      <c r="R90" s="554" t="s">
        <v>752</v>
      </c>
      <c r="S90" s="388"/>
      <c r="T90" s="388"/>
      <c r="U90" s="388"/>
      <c r="V90" s="388"/>
      <c r="W90" s="380"/>
      <c r="X90" s="380"/>
      <c r="Y90" s="380"/>
      <c r="Z90" s="380"/>
      <c r="AA90" s="380"/>
      <c r="AB90" s="380"/>
      <c r="AC90" s="380"/>
      <c r="AD90" s="198"/>
      <c r="AE90" s="122"/>
      <c r="AF90" s="122"/>
      <c r="AG90" s="122"/>
      <c r="AH90" s="122"/>
      <c r="AI90" s="122"/>
      <c r="AJ90" s="122"/>
      <c r="AK90" s="122"/>
      <c r="AL90" s="122"/>
      <c r="AM90" s="122"/>
      <c r="AN90" s="122"/>
      <c r="AO90" s="122"/>
      <c r="AP90" s="122"/>
      <c r="AQ90" s="122"/>
      <c r="AR90" s="122"/>
      <c r="AS90" s="122"/>
      <c r="AT90" s="122"/>
      <c r="AU90" s="122"/>
      <c r="AV90" s="122"/>
      <c r="AW90" s="122"/>
      <c r="AX90" s="122"/>
      <c r="AY90" s="122"/>
      <c r="AZ90" s="124"/>
      <c r="BA90" s="356" t="str">
        <f t="shared" si="11"/>
        <v/>
      </c>
      <c r="BB90" s="356" t="str">
        <f t="shared" si="13"/>
        <v/>
      </c>
      <c r="BC90" s="356" t="str">
        <f>S412</f>
        <v/>
      </c>
    </row>
    <row r="91" spans="1:56" ht="26.25" customHeight="1" thickBot="1" x14ac:dyDescent="0.25">
      <c r="A91" s="1364" t="s">
        <v>85</v>
      </c>
      <c r="B91" s="1365"/>
      <c r="C91" s="1365"/>
      <c r="D91" s="1365"/>
      <c r="E91" s="1365"/>
      <c r="F91" s="1365"/>
      <c r="G91" s="1365"/>
      <c r="H91" s="1365"/>
      <c r="I91" s="1365"/>
      <c r="J91" s="1365"/>
      <c r="K91" s="1365"/>
      <c r="L91" s="1365"/>
      <c r="M91" s="1365"/>
      <c r="N91" s="1366" t="str">
        <f>$N$5</f>
        <v>2024 Report Year</v>
      </c>
      <c r="O91" s="1367"/>
      <c r="P91" s="1367"/>
      <c r="Q91" s="1368"/>
      <c r="R91" s="534" t="s">
        <v>752</v>
      </c>
      <c r="S91" s="394"/>
      <c r="T91" s="394"/>
      <c r="U91" s="394"/>
      <c r="V91" s="394"/>
      <c r="W91" s="380"/>
      <c r="X91" s="380"/>
      <c r="Y91" s="380"/>
      <c r="Z91" s="380"/>
      <c r="AA91" s="380"/>
      <c r="AB91" s="380"/>
      <c r="AC91" s="380"/>
      <c r="AD91" s="198"/>
      <c r="AE91" s="122"/>
      <c r="AF91" s="122"/>
      <c r="AG91" s="122"/>
      <c r="AH91" s="122"/>
      <c r="AI91" s="122"/>
      <c r="AJ91" s="122"/>
      <c r="AK91" s="122"/>
      <c r="AL91" s="122"/>
      <c r="AM91" s="122"/>
      <c r="AN91" s="122"/>
      <c r="AO91" s="122"/>
      <c r="AP91" s="122"/>
      <c r="AQ91" s="122"/>
      <c r="AR91" s="122"/>
      <c r="AS91" s="122"/>
      <c r="AT91" s="122"/>
      <c r="AU91" s="122"/>
      <c r="AV91" s="122"/>
      <c r="AW91" s="122"/>
      <c r="AX91" s="122"/>
      <c r="AY91" s="122"/>
      <c r="AZ91" s="124"/>
      <c r="BA91" s="356" t="str">
        <f t="shared" si="11"/>
        <v/>
      </c>
      <c r="BB91" s="356" t="str">
        <f t="shared" si="13"/>
        <v/>
      </c>
      <c r="BC91" s="356" t="str">
        <f>S420</f>
        <v/>
      </c>
    </row>
    <row r="92" spans="1:56" ht="26.25" customHeight="1" x14ac:dyDescent="0.2">
      <c r="A92" s="1351" t="str">
        <f>IF(AND(OR(ISNA(cap_exp_contact),TRIM(cap_exp_contact)=""),NOT(ISBLANK(code_7594))),"The Capital Expenditure Contact information has NOT been provided.  Please complete this information now.","")</f>
        <v/>
      </c>
      <c r="B92" s="1352"/>
      <c r="C92" s="1352"/>
      <c r="D92" s="1352"/>
      <c r="E92" s="1352"/>
      <c r="F92" s="1352"/>
      <c r="G92" s="1352"/>
      <c r="H92" s="1352"/>
      <c r="I92" s="1352"/>
      <c r="J92" s="1352"/>
      <c r="K92" s="1352"/>
      <c r="L92" s="1352"/>
      <c r="M92" s="1352"/>
      <c r="N92" s="343" t="s">
        <v>602</v>
      </c>
      <c r="O92" s="344" t="e">
        <f>$O$6</f>
        <v>#N/A</v>
      </c>
      <c r="P92" s="345" t="s">
        <v>603</v>
      </c>
      <c r="Q92" s="346" t="e">
        <f>IF(ISBLANK(Q49),"",Q49+1)</f>
        <v>#VALUE!</v>
      </c>
      <c r="R92" s="534" t="s">
        <v>752</v>
      </c>
      <c r="S92" s="198"/>
      <c r="T92" s="198"/>
      <c r="U92" s="198"/>
      <c r="V92" s="198"/>
      <c r="W92" s="380"/>
      <c r="X92" s="380"/>
      <c r="Y92" s="380"/>
      <c r="Z92" s="380"/>
      <c r="AA92" s="198"/>
      <c r="AB92" s="198"/>
      <c r="AC92" s="198"/>
      <c r="AD92" s="198"/>
      <c r="AE92" s="122"/>
      <c r="AF92" s="122"/>
      <c r="AG92" s="122"/>
      <c r="AH92" s="122"/>
      <c r="AI92" s="122"/>
      <c r="AJ92" s="122"/>
      <c r="AK92" s="122"/>
      <c r="AL92" s="122"/>
      <c r="AM92" s="122"/>
      <c r="AN92" s="122"/>
      <c r="AO92" s="122"/>
      <c r="AP92" s="122"/>
      <c r="AQ92" s="122"/>
      <c r="AR92" s="122"/>
      <c r="AS92" s="122"/>
      <c r="AT92" s="122"/>
      <c r="AU92" s="122"/>
      <c r="AV92" s="122"/>
      <c r="AW92" s="122"/>
      <c r="AX92" s="122"/>
      <c r="AY92" s="122"/>
      <c r="AZ92" s="124"/>
      <c r="BA92" s="356" t="str">
        <f t="shared" si="11"/>
        <v/>
      </c>
      <c r="BB92" s="356" t="str">
        <f t="shared" si="13"/>
        <v/>
      </c>
      <c r="BC92" s="356" t="str">
        <f>S421</f>
        <v/>
      </c>
    </row>
    <row r="93" spans="1:56" ht="26.25" customHeight="1" thickBot="1" x14ac:dyDescent="0.25">
      <c r="A93" s="1353" t="s">
        <v>197</v>
      </c>
      <c r="B93" s="1354"/>
      <c r="C93" s="1354"/>
      <c r="D93" s="1354"/>
      <c r="E93" s="1355"/>
      <c r="F93" s="1356"/>
      <c r="G93" s="1356"/>
      <c r="H93" s="1356"/>
      <c r="I93" s="1356"/>
      <c r="J93" s="1356"/>
      <c r="K93" s="1356"/>
      <c r="L93" s="1357"/>
      <c r="M93" s="550" t="s">
        <v>752</v>
      </c>
      <c r="N93" s="1358" t="s">
        <v>604</v>
      </c>
      <c r="O93" s="1359"/>
      <c r="P93" s="1359"/>
      <c r="Q93" s="1360"/>
      <c r="R93" s="531" t="s">
        <v>752</v>
      </c>
      <c r="S93" s="348" t="str">
        <f>IF(ISBLANK(E93),"",E93)</f>
        <v/>
      </c>
      <c r="T93" s="143" t="s">
        <v>495</v>
      </c>
      <c r="U93" s="280"/>
      <c r="V93" s="280"/>
      <c r="W93" s="380"/>
      <c r="X93" s="388"/>
      <c r="Y93" s="388"/>
      <c r="Z93" s="388"/>
      <c r="AA93" s="382"/>
      <c r="AB93" s="382"/>
      <c r="AC93" s="382"/>
      <c r="AD93" s="198"/>
      <c r="AE93" s="122"/>
      <c r="AF93" s="122"/>
      <c r="AG93" s="122"/>
      <c r="AH93" s="122"/>
      <c r="AI93" s="122"/>
      <c r="AJ93" s="122"/>
      <c r="AK93" s="122"/>
      <c r="AL93" s="122"/>
      <c r="AM93" s="122"/>
      <c r="AN93" s="122"/>
      <c r="AO93" s="122"/>
      <c r="AP93" s="122"/>
      <c r="AQ93" s="122"/>
      <c r="AR93" s="122"/>
      <c r="AS93" s="122"/>
      <c r="AT93" s="122"/>
      <c r="AU93" s="122"/>
      <c r="AV93" s="122"/>
      <c r="AW93" s="122"/>
      <c r="AX93" s="122"/>
      <c r="AY93" s="122"/>
      <c r="AZ93" s="124"/>
      <c r="BA93" s="333" t="str">
        <f t="shared" si="11"/>
        <v/>
      </c>
      <c r="BB93" s="333" t="str">
        <f t="shared" ref="BB93:BB101" si="14">IF(BC93="","",$Q$436)</f>
        <v/>
      </c>
      <c r="BC93" s="333" t="str">
        <f>S451</f>
        <v/>
      </c>
      <c r="BD93" s="195" t="s">
        <v>657</v>
      </c>
    </row>
    <row r="94" spans="1:56" ht="26.25" customHeight="1" x14ac:dyDescent="0.2">
      <c r="A94" s="1361" t="s">
        <v>605</v>
      </c>
      <c r="B94" s="1362"/>
      <c r="C94" s="1362"/>
      <c r="D94" s="1363"/>
      <c r="E94" s="1339"/>
      <c r="F94" s="1340"/>
      <c r="G94" s="1340"/>
      <c r="H94" s="1340"/>
      <c r="I94" s="1340"/>
      <c r="J94" s="1340"/>
      <c r="K94" s="1340"/>
      <c r="L94" s="1341"/>
      <c r="M94" s="1342" t="str">
        <f>IF(AND(ISBLANK(E94),OR(NOT(ISBLANK(E95)),NOT(ISBLANK(E96)),NOT(ISBLANK(E97)),NOT(ISBLANK(I98)),NOT(ISBLANK(A100)))),"This information is required.","")</f>
        <v/>
      </c>
      <c r="N94" s="1343"/>
      <c r="O94" s="1343"/>
      <c r="P94" s="1343"/>
      <c r="Q94" s="551" t="s">
        <v>752</v>
      </c>
      <c r="R94" s="531" t="s">
        <v>752</v>
      </c>
      <c r="S94" s="348" t="str">
        <f>IF(ISBLANK(E94),"",E94)</f>
        <v/>
      </c>
      <c r="T94" s="143" t="s">
        <v>185</v>
      </c>
      <c r="U94" s="280"/>
      <c r="V94" s="280"/>
      <c r="W94" s="380"/>
      <c r="X94" s="394"/>
      <c r="Y94" s="394"/>
      <c r="Z94" s="394"/>
      <c r="AA94" s="380"/>
      <c r="AB94" s="380"/>
      <c r="AC94" s="380"/>
      <c r="AD94" s="198"/>
      <c r="AE94" s="122"/>
      <c r="AF94" s="122"/>
      <c r="AG94" s="122"/>
      <c r="AH94" s="122"/>
      <c r="AI94" s="122"/>
      <c r="AJ94" s="122"/>
      <c r="AK94" s="122"/>
      <c r="AL94" s="122"/>
      <c r="AM94" s="122"/>
      <c r="AN94" s="122"/>
      <c r="AO94" s="122"/>
      <c r="AP94" s="122"/>
      <c r="AQ94" s="122"/>
      <c r="AR94" s="122"/>
      <c r="AS94" s="122"/>
      <c r="AT94" s="122"/>
      <c r="AU94" s="122"/>
      <c r="AV94" s="122"/>
      <c r="AW94" s="122"/>
      <c r="AX94" s="122"/>
      <c r="AY94" s="122"/>
      <c r="AZ94" s="124"/>
      <c r="BA94" s="333" t="str">
        <f t="shared" si="11"/>
        <v/>
      </c>
      <c r="BB94" s="333" t="str">
        <f t="shared" si="14"/>
        <v/>
      </c>
      <c r="BC94" s="333" t="str">
        <f>T451</f>
        <v/>
      </c>
      <c r="BD94" s="200"/>
    </row>
    <row r="95" spans="1:56" ht="26.25" customHeight="1" x14ac:dyDescent="0.2">
      <c r="A95" s="1325" t="s">
        <v>606</v>
      </c>
      <c r="B95" s="1326"/>
      <c r="C95" s="1326"/>
      <c r="D95" s="1327"/>
      <c r="E95" s="1339"/>
      <c r="F95" s="1340"/>
      <c r="G95" s="1340"/>
      <c r="H95" s="1340"/>
      <c r="I95" s="1340"/>
      <c r="J95" s="1340"/>
      <c r="K95" s="1340"/>
      <c r="L95" s="1341"/>
      <c r="M95" s="1342" t="str">
        <f>IF(AND(ISBLANK(E95),OR(NOT(ISBLANK(E94)),NOT(ISBLANK(E96)),NOT(ISBLANK(E97)),NOT(ISBLANK(I98)),NOT(ISBLANK(A100)))),"This information is required.","")</f>
        <v/>
      </c>
      <c r="N95" s="1343"/>
      <c r="O95" s="1343"/>
      <c r="P95" s="1343"/>
      <c r="Q95" s="551" t="s">
        <v>752</v>
      </c>
      <c r="R95" s="531" t="s">
        <v>752</v>
      </c>
      <c r="S95" s="348" t="str">
        <f>IF(ISBLANK(E95),"",E95)</f>
        <v/>
      </c>
      <c r="T95" s="143" t="s">
        <v>186</v>
      </c>
      <c r="U95" s="280"/>
      <c r="V95" s="280"/>
      <c r="W95" s="380"/>
      <c r="X95" s="198"/>
      <c r="Y95" s="198"/>
      <c r="Z95" s="198"/>
      <c r="AA95" s="380"/>
      <c r="AB95" s="380"/>
      <c r="AC95" s="380"/>
      <c r="AD95" s="198"/>
      <c r="AE95" s="122"/>
      <c r="AF95" s="122"/>
      <c r="AG95" s="122"/>
      <c r="AH95" s="122"/>
      <c r="AI95" s="122"/>
      <c r="AJ95" s="122"/>
      <c r="AK95" s="122"/>
      <c r="AL95" s="122"/>
      <c r="AM95" s="122"/>
      <c r="AN95" s="122"/>
      <c r="AO95" s="122"/>
      <c r="AP95" s="122"/>
      <c r="AQ95" s="122"/>
      <c r="AR95" s="122"/>
      <c r="AS95" s="122"/>
      <c r="AT95" s="122"/>
      <c r="AU95" s="122"/>
      <c r="AV95" s="122"/>
      <c r="AW95" s="122"/>
      <c r="AX95" s="122"/>
      <c r="AY95" s="122"/>
      <c r="AZ95" s="124"/>
      <c r="BA95" s="333" t="str">
        <f t="shared" si="11"/>
        <v/>
      </c>
      <c r="BB95" s="333" t="str">
        <f t="shared" si="14"/>
        <v/>
      </c>
      <c r="BC95" s="333" t="str">
        <f>U451</f>
        <v/>
      </c>
    </row>
    <row r="96" spans="1:56" ht="26.25" customHeight="1" x14ac:dyDescent="0.2">
      <c r="A96" s="1344" t="s">
        <v>607</v>
      </c>
      <c r="B96" s="1345"/>
      <c r="C96" s="1345"/>
      <c r="D96" s="1346"/>
      <c r="E96" s="1347"/>
      <c r="F96" s="1348"/>
      <c r="G96" s="1349" t="s">
        <v>608</v>
      </c>
      <c r="H96" s="1349"/>
      <c r="I96" s="1349"/>
      <c r="J96" s="1349"/>
      <c r="K96" s="1349"/>
      <c r="L96" s="1349"/>
      <c r="M96" s="1350" t="str">
        <f>IF(AND(ISBLANK(E96),OR(NOT(ISBLANK(E94)),NOT(ISBLANK(E95)),NOT(ISBLANK(E97)),NOT(ISBLANK(I98)),NOT(ISBLANK(A100)))),"This information is required.","")</f>
        <v/>
      </c>
      <c r="N96" s="1202"/>
      <c r="O96" s="1202"/>
      <c r="P96" s="1202"/>
      <c r="Q96" s="532" t="s">
        <v>752</v>
      </c>
      <c r="R96" s="531" t="s">
        <v>752</v>
      </c>
      <c r="S96" s="350" t="str">
        <f>IF(ISBLANK(E96),"",E96)</f>
        <v/>
      </c>
      <c r="T96" s="351" t="s">
        <v>188</v>
      </c>
      <c r="U96" s="349"/>
      <c r="V96" s="349"/>
      <c r="W96" s="380"/>
      <c r="X96" s="198"/>
      <c r="Y96" s="198"/>
      <c r="Z96" s="198"/>
      <c r="AA96" s="380"/>
      <c r="AB96" s="380"/>
      <c r="AC96" s="380"/>
      <c r="AD96" s="198"/>
      <c r="AE96" s="122"/>
      <c r="AF96" s="122"/>
      <c r="AG96" s="122"/>
      <c r="AH96" s="122"/>
      <c r="AI96" s="122"/>
      <c r="AJ96" s="122"/>
      <c r="AK96" s="122"/>
      <c r="AL96" s="122"/>
      <c r="AM96" s="122"/>
      <c r="AN96" s="122"/>
      <c r="AO96" s="122"/>
      <c r="AP96" s="122"/>
      <c r="AQ96" s="122"/>
      <c r="AR96" s="122"/>
      <c r="AS96" s="122"/>
      <c r="AT96" s="122"/>
      <c r="AU96" s="122"/>
      <c r="AV96" s="122"/>
      <c r="AW96" s="122"/>
      <c r="AX96" s="122"/>
      <c r="AY96" s="122"/>
      <c r="AZ96" s="124"/>
      <c r="BA96" s="333" t="str">
        <f t="shared" si="11"/>
        <v/>
      </c>
      <c r="BB96" s="333" t="str">
        <f t="shared" si="14"/>
        <v/>
      </c>
      <c r="BC96" s="333" t="str">
        <f>V451</f>
        <v/>
      </c>
    </row>
    <row r="97" spans="1:56" ht="26.25" customHeight="1" x14ac:dyDescent="0.2">
      <c r="A97" s="1325" t="s">
        <v>609</v>
      </c>
      <c r="B97" s="1326"/>
      <c r="C97" s="1326"/>
      <c r="D97" s="1327"/>
      <c r="E97" s="1328"/>
      <c r="F97" s="1329"/>
      <c r="G97" s="1337" t="s">
        <v>752</v>
      </c>
      <c r="H97" s="1338"/>
      <c r="I97" s="1338"/>
      <c r="J97" s="1338"/>
      <c r="K97" s="1338"/>
      <c r="L97" s="1338"/>
      <c r="M97" s="1202" t="str">
        <f>IF(AND(ISBLANK(E97),OR(NOT(ISBLANK(E94)),NOT(ISBLANK(E95)),NOT(ISBLANK(E96)),NOT(ISBLANK(I98)),NOT(ISBLANK(A100)))),"This information is required.","")</f>
        <v/>
      </c>
      <c r="N97" s="1202"/>
      <c r="O97" s="1202"/>
      <c r="P97" s="1202"/>
      <c r="Q97" s="532" t="s">
        <v>752</v>
      </c>
      <c r="R97" s="531" t="s">
        <v>752</v>
      </c>
      <c r="S97" s="353" t="str">
        <f>IF(ISBLANK(E97),"",E97)</f>
        <v/>
      </c>
      <c r="T97" s="354" t="s">
        <v>189</v>
      </c>
      <c r="U97" s="318"/>
      <c r="V97" s="318"/>
      <c r="W97" s="388"/>
      <c r="X97" s="198"/>
      <c r="Y97" s="198"/>
      <c r="Z97" s="198"/>
      <c r="AA97" s="380"/>
      <c r="AB97" s="380"/>
      <c r="AC97" s="380"/>
      <c r="AD97" s="198"/>
      <c r="AE97" s="122"/>
      <c r="AF97" s="122"/>
      <c r="AG97" s="122"/>
      <c r="AH97" s="122"/>
      <c r="AI97" s="122"/>
      <c r="AJ97" s="122"/>
      <c r="AK97" s="122"/>
      <c r="AL97" s="122"/>
      <c r="AM97" s="122"/>
      <c r="AN97" s="122"/>
      <c r="AO97" s="122"/>
      <c r="AP97" s="122"/>
      <c r="AQ97" s="122"/>
      <c r="AR97" s="122"/>
      <c r="AS97" s="122"/>
      <c r="AT97" s="122"/>
      <c r="AU97" s="122"/>
      <c r="AV97" s="122"/>
      <c r="AW97" s="122"/>
      <c r="AX97" s="122"/>
      <c r="AY97" s="122"/>
      <c r="AZ97" s="124"/>
      <c r="BA97" s="333" t="str">
        <f t="shared" si="11"/>
        <v/>
      </c>
      <c r="BB97" s="333" t="str">
        <f t="shared" si="14"/>
        <v/>
      </c>
      <c r="BC97" s="333" t="str">
        <f>S453</f>
        <v/>
      </c>
    </row>
    <row r="98" spans="1:56" ht="26.25" customHeight="1" thickBot="1" x14ac:dyDescent="0.25">
      <c r="A98" s="1330" t="s">
        <v>610</v>
      </c>
      <c r="B98" s="1331"/>
      <c r="C98" s="1331"/>
      <c r="D98" s="1331"/>
      <c r="E98" s="1332"/>
      <c r="F98" s="1332"/>
      <c r="G98" s="1332"/>
      <c r="H98" s="1332"/>
      <c r="I98" s="1333"/>
      <c r="J98" s="1333"/>
      <c r="K98" s="1334" t="s">
        <v>611</v>
      </c>
      <c r="L98" s="1335"/>
      <c r="M98" s="1336" t="str">
        <f>IF(AND(ISBLANK(I98),OR(NOT(ISBLANK(E94)),NOT(ISBLANK(E95)),NOT(ISBLANK(E96)),NOT(ISBLANK(E97)),NOT(ISBLANK(A100)))),"This information is required!","")</f>
        <v/>
      </c>
      <c r="N98" s="1336"/>
      <c r="O98" s="1336"/>
      <c r="P98" s="1336"/>
      <c r="Q98" s="553" t="s">
        <v>752</v>
      </c>
      <c r="R98" s="531" t="s">
        <v>752</v>
      </c>
      <c r="S98" s="353" t="str">
        <f>IF(ISBLANK(I98),"",I98)</f>
        <v/>
      </c>
      <c r="T98" s="354" t="s">
        <v>190</v>
      </c>
      <c r="U98" s="355"/>
      <c r="V98" s="355"/>
      <c r="W98" s="394"/>
      <c r="X98" s="198"/>
      <c r="Y98" s="198"/>
      <c r="Z98" s="198"/>
      <c r="AA98" s="380"/>
      <c r="AB98" s="380"/>
      <c r="AC98" s="380"/>
      <c r="AD98" s="198"/>
      <c r="AE98" s="122"/>
      <c r="AF98" s="122"/>
      <c r="AG98" s="122"/>
      <c r="AH98" s="122"/>
      <c r="AI98" s="122"/>
      <c r="AJ98" s="122"/>
      <c r="AK98" s="122"/>
      <c r="AL98" s="122"/>
      <c r="AM98" s="122"/>
      <c r="AN98" s="122"/>
      <c r="AO98" s="122"/>
      <c r="AP98" s="122"/>
      <c r="AQ98" s="122"/>
      <c r="AR98" s="122"/>
      <c r="AS98" s="122"/>
      <c r="AT98" s="122"/>
      <c r="AU98" s="122"/>
      <c r="AV98" s="122"/>
      <c r="AW98" s="122"/>
      <c r="AX98" s="122"/>
      <c r="AY98" s="122"/>
      <c r="AZ98" s="124"/>
      <c r="BA98" s="333" t="str">
        <f t="shared" si="11"/>
        <v/>
      </c>
      <c r="BB98" s="333" t="str">
        <f t="shared" si="14"/>
        <v/>
      </c>
      <c r="BC98" s="333" t="str">
        <f>S454</f>
        <v/>
      </c>
    </row>
    <row r="99" spans="1:56" ht="26.25" customHeight="1" x14ac:dyDescent="0.2">
      <c r="A99" s="1251" t="s">
        <v>613</v>
      </c>
      <c r="B99" s="1252"/>
      <c r="C99" s="1252"/>
      <c r="D99" s="1252"/>
      <c r="E99" s="1252"/>
      <c r="F99" s="1252"/>
      <c r="G99" s="1252"/>
      <c r="H99" s="1252"/>
      <c r="I99" s="1252"/>
      <c r="J99" s="1317"/>
      <c r="K99" s="1318" t="s">
        <v>679</v>
      </c>
      <c r="L99" s="1318"/>
      <c r="M99" s="1318"/>
      <c r="N99" s="1318"/>
      <c r="O99" s="1320" t="s">
        <v>614</v>
      </c>
      <c r="P99" s="1320"/>
      <c r="Q99" s="1321"/>
      <c r="R99" s="531" t="s">
        <v>752</v>
      </c>
      <c r="S99" s="353" t="str">
        <f>IF(ISBLANK(A100),"",A100)</f>
        <v/>
      </c>
      <c r="T99" s="354" t="s">
        <v>191</v>
      </c>
      <c r="U99" s="357"/>
      <c r="V99" s="357"/>
      <c r="W99" s="198"/>
      <c r="X99" s="198"/>
      <c r="Y99" s="198"/>
      <c r="Z99" s="198"/>
      <c r="AA99" s="380"/>
      <c r="AB99" s="380"/>
      <c r="AC99" s="380"/>
      <c r="AD99" s="198"/>
      <c r="AE99" s="122"/>
      <c r="AF99" s="122"/>
      <c r="AG99" s="122"/>
      <c r="AH99" s="122"/>
      <c r="AI99" s="122"/>
      <c r="AJ99" s="122"/>
      <c r="AK99" s="122"/>
      <c r="AL99" s="122"/>
      <c r="AM99" s="122"/>
      <c r="AN99" s="122"/>
      <c r="AO99" s="122"/>
      <c r="AP99" s="122"/>
      <c r="AQ99" s="122"/>
      <c r="AR99" s="122"/>
      <c r="AS99" s="122"/>
      <c r="AT99" s="122"/>
      <c r="AU99" s="122"/>
      <c r="AV99" s="122"/>
      <c r="AW99" s="122"/>
      <c r="AX99" s="122"/>
      <c r="AY99" s="122"/>
      <c r="AZ99" s="124"/>
      <c r="BA99" s="333" t="str">
        <f t="shared" si="11"/>
        <v/>
      </c>
      <c r="BB99" s="333" t="str">
        <f t="shared" si="14"/>
        <v/>
      </c>
      <c r="BC99" s="333" t="str">
        <f>S455</f>
        <v/>
      </c>
    </row>
    <row r="100" spans="1:56" ht="26.25" customHeight="1" x14ac:dyDescent="0.2">
      <c r="A100" s="1263"/>
      <c r="B100" s="1264"/>
      <c r="C100" s="1264"/>
      <c r="D100" s="1264"/>
      <c r="E100" s="1264"/>
      <c r="F100" s="1264"/>
      <c r="G100" s="1264"/>
      <c r="H100" s="1264"/>
      <c r="I100" s="1264"/>
      <c r="J100" s="1305"/>
      <c r="K100" s="1319"/>
      <c r="L100" s="1319"/>
      <c r="M100" s="1319"/>
      <c r="N100" s="1319"/>
      <c r="O100" s="555" t="s">
        <v>752</v>
      </c>
      <c r="P100" s="214" t="s">
        <v>265</v>
      </c>
      <c r="Q100" s="358" t="s">
        <v>266</v>
      </c>
      <c r="R100" s="531" t="s">
        <v>752</v>
      </c>
      <c r="S100" s="353" t="str">
        <f>IF(ISBLANK(A103),"",A103)</f>
        <v/>
      </c>
      <c r="T100" s="359" t="s">
        <v>192</v>
      </c>
      <c r="U100" s="357"/>
      <c r="V100" s="357"/>
      <c r="W100" s="198"/>
      <c r="X100" s="349"/>
      <c r="Y100" s="349"/>
      <c r="Z100" s="349"/>
      <c r="AA100" s="380"/>
      <c r="AB100" s="380"/>
      <c r="AC100" s="380"/>
      <c r="AD100" s="198"/>
      <c r="AE100" s="122"/>
      <c r="AF100" s="122"/>
      <c r="AG100" s="122"/>
      <c r="AH100" s="122"/>
      <c r="AI100" s="122"/>
      <c r="AJ100" s="122"/>
      <c r="AK100" s="122"/>
      <c r="AL100" s="122"/>
      <c r="AM100" s="122"/>
      <c r="AN100" s="122"/>
      <c r="AO100" s="122"/>
      <c r="AP100" s="122"/>
      <c r="AQ100" s="122"/>
      <c r="AR100" s="122"/>
      <c r="AS100" s="122"/>
      <c r="AT100" s="122"/>
      <c r="AU100" s="122"/>
      <c r="AV100" s="122"/>
      <c r="AW100" s="122"/>
      <c r="AX100" s="122"/>
      <c r="AY100" s="122"/>
      <c r="AZ100" s="124"/>
      <c r="BA100" s="333" t="str">
        <f t="shared" si="11"/>
        <v/>
      </c>
      <c r="BB100" s="333" t="str">
        <f t="shared" si="14"/>
        <v/>
      </c>
      <c r="BC100" s="333" t="str">
        <f>S463</f>
        <v/>
      </c>
    </row>
    <row r="101" spans="1:56" ht="26.25" customHeight="1" x14ac:dyDescent="0.2">
      <c r="A101" s="1279"/>
      <c r="B101" s="1280"/>
      <c r="C101" s="1280"/>
      <c r="D101" s="1280"/>
      <c r="E101" s="1280"/>
      <c r="F101" s="1280"/>
      <c r="G101" s="1280"/>
      <c r="H101" s="1280"/>
      <c r="I101" s="1280"/>
      <c r="J101" s="1306"/>
      <c r="K101" s="1307" t="s">
        <v>615</v>
      </c>
      <c r="L101" s="1308"/>
      <c r="M101" s="1308"/>
      <c r="N101" s="1308"/>
      <c r="O101" s="1309"/>
      <c r="P101" s="365"/>
      <c r="Q101" s="400"/>
      <c r="R101" s="355" t="str">
        <f>IF(COUNTBLANK(P101:Q101)=2,"Please enter response.",IF(COUNTBLANK(P101:Q101)&lt;&gt;1,"Please VERIFY response.",""))</f>
        <v>Please enter response.</v>
      </c>
      <c r="S101" s="366" t="str">
        <f>IF(AND(ISBLANK(P101),ISBLANK(Q101)),"",IF(ISBLANK(P101),0,1))</f>
        <v/>
      </c>
      <c r="T101" s="233" t="s">
        <v>586</v>
      </c>
      <c r="U101" s="200"/>
      <c r="V101" s="200"/>
      <c r="W101" s="198"/>
      <c r="X101" s="198"/>
      <c r="Y101" s="198"/>
      <c r="Z101" s="198"/>
      <c r="AA101" s="380"/>
      <c r="AB101" s="380"/>
      <c r="AC101" s="380"/>
      <c r="AD101" s="198"/>
      <c r="AE101" s="122"/>
      <c r="AF101" s="122"/>
      <c r="AG101" s="122"/>
      <c r="AH101" s="122"/>
      <c r="AI101" s="122"/>
      <c r="AJ101" s="122"/>
      <c r="AK101" s="122"/>
      <c r="AL101" s="122"/>
      <c r="AM101" s="122"/>
      <c r="AN101" s="122"/>
      <c r="AO101" s="122"/>
      <c r="AP101" s="122"/>
      <c r="AQ101" s="122"/>
      <c r="AR101" s="122"/>
      <c r="AS101" s="122"/>
      <c r="AT101" s="122"/>
      <c r="AU101" s="122"/>
      <c r="AV101" s="122"/>
      <c r="AW101" s="122"/>
      <c r="AX101" s="122"/>
      <c r="AY101" s="122"/>
      <c r="AZ101" s="124"/>
      <c r="BA101" s="333" t="str">
        <f t="shared" si="11"/>
        <v/>
      </c>
      <c r="BB101" s="333" t="str">
        <f t="shared" si="14"/>
        <v/>
      </c>
      <c r="BC101" s="333" t="str">
        <f>S464</f>
        <v/>
      </c>
      <c r="BD101" s="200"/>
    </row>
    <row r="102" spans="1:56" ht="26.25" customHeight="1" x14ac:dyDescent="0.2">
      <c r="A102" s="1322" t="s">
        <v>616</v>
      </c>
      <c r="B102" s="1323"/>
      <c r="C102" s="1323"/>
      <c r="D102" s="1323"/>
      <c r="E102" s="1323"/>
      <c r="F102" s="1323"/>
      <c r="G102" s="1323"/>
      <c r="H102" s="1323"/>
      <c r="I102" s="1323"/>
      <c r="J102" s="1324"/>
      <c r="K102" s="1307" t="s">
        <v>617</v>
      </c>
      <c r="L102" s="1308"/>
      <c r="M102" s="1308"/>
      <c r="N102" s="1308"/>
      <c r="O102" s="1309"/>
      <c r="P102" s="365"/>
      <c r="Q102" s="400"/>
      <c r="R102" s="355" t="str">
        <f>IF(COUNTBLANK(P102:Q102)=2,"Please enter response.",IF(COUNTBLANK(P102:Q102)&lt;&gt;1,"Please VERIFY response.",""))</f>
        <v>Please enter response.</v>
      </c>
      <c r="S102" s="366" t="str">
        <f>IF(AND(ISBLANK(P102),ISBLANK(Q102)),"",IF(ISBLANK(P102),0,1))</f>
        <v/>
      </c>
      <c r="T102" s="233" t="s">
        <v>587</v>
      </c>
      <c r="U102" s="200"/>
      <c r="V102" s="200"/>
      <c r="W102" s="198"/>
      <c r="X102" s="198"/>
      <c r="Y102" s="198"/>
      <c r="Z102" s="198"/>
      <c r="AA102" s="380"/>
      <c r="AB102" s="380"/>
      <c r="AC102" s="380"/>
      <c r="AD102" s="198"/>
      <c r="AE102" s="122"/>
      <c r="AF102" s="122"/>
      <c r="AG102" s="122"/>
      <c r="AH102" s="122"/>
      <c r="AI102" s="122"/>
      <c r="AJ102" s="122"/>
      <c r="AK102" s="122"/>
      <c r="AL102" s="122"/>
      <c r="AM102" s="122"/>
      <c r="AN102" s="122"/>
      <c r="AO102" s="122"/>
      <c r="AP102" s="122"/>
      <c r="AQ102" s="122"/>
      <c r="AR102" s="122"/>
      <c r="AS102" s="122"/>
      <c r="AT102" s="122"/>
      <c r="AU102" s="122"/>
      <c r="AV102" s="122"/>
      <c r="AW102" s="122"/>
      <c r="AX102" s="122"/>
      <c r="AY102" s="122"/>
      <c r="AZ102" s="124"/>
      <c r="BA102" s="356" t="str">
        <f t="shared" si="11"/>
        <v/>
      </c>
      <c r="BB102" s="356" t="str">
        <f t="shared" ref="BB102:BB110" si="15">IF(BC102="","",$Q$479)</f>
        <v/>
      </c>
      <c r="BC102" s="356" t="str">
        <f>S494</f>
        <v/>
      </c>
      <c r="BD102" s="195" t="s">
        <v>658</v>
      </c>
    </row>
    <row r="103" spans="1:56" ht="26.25" customHeight="1" x14ac:dyDescent="0.2">
      <c r="A103" s="1263"/>
      <c r="B103" s="1264"/>
      <c r="C103" s="1264"/>
      <c r="D103" s="1264"/>
      <c r="E103" s="1264"/>
      <c r="F103" s="1264"/>
      <c r="G103" s="1264"/>
      <c r="H103" s="1264"/>
      <c r="I103" s="1264"/>
      <c r="J103" s="1305"/>
      <c r="K103" s="1307" t="s">
        <v>618</v>
      </c>
      <c r="L103" s="1308"/>
      <c r="M103" s="1308"/>
      <c r="N103" s="1308"/>
      <c r="O103" s="1309"/>
      <c r="P103" s="365"/>
      <c r="Q103" s="400"/>
      <c r="R103" s="355" t="str">
        <f>IF(COUNTBLANK(P103:Q103)=2,"Please enter response.",IF(COUNTBLANK(P103:Q103)&lt;&gt;1,"Please VERIFY response.",""))</f>
        <v>Please enter response.</v>
      </c>
      <c r="S103" s="366" t="str">
        <f>IF(AND(ISBLANK(P103),ISBLANK(Q103)),"",IF(ISBLANK(P103),0,1))</f>
        <v/>
      </c>
      <c r="T103" s="233" t="s">
        <v>588</v>
      </c>
      <c r="U103" s="200"/>
      <c r="V103" s="200"/>
      <c r="W103" s="198"/>
      <c r="X103" s="198"/>
      <c r="Y103" s="198"/>
      <c r="Z103" s="198"/>
      <c r="AA103" s="198"/>
      <c r="AB103" s="198"/>
      <c r="AC103" s="198"/>
      <c r="AD103" s="198"/>
      <c r="AE103" s="122"/>
      <c r="AF103" s="122"/>
      <c r="AG103" s="122"/>
      <c r="AH103" s="122"/>
      <c r="AI103" s="122"/>
      <c r="AJ103" s="122"/>
      <c r="AK103" s="122"/>
      <c r="AL103" s="122"/>
      <c r="AM103" s="122"/>
      <c r="AN103" s="122"/>
      <c r="AO103" s="122"/>
      <c r="AP103" s="122"/>
      <c r="AQ103" s="122"/>
      <c r="AR103" s="122"/>
      <c r="AS103" s="122"/>
      <c r="AT103" s="122"/>
      <c r="AU103" s="122"/>
      <c r="AV103" s="122"/>
      <c r="AW103" s="122"/>
      <c r="AX103" s="122"/>
      <c r="AY103" s="122"/>
      <c r="AZ103" s="124"/>
      <c r="BA103" s="356" t="str">
        <f t="shared" si="11"/>
        <v/>
      </c>
      <c r="BB103" s="356" t="str">
        <f t="shared" si="15"/>
        <v/>
      </c>
      <c r="BC103" s="356" t="str">
        <f>T494</f>
        <v/>
      </c>
    </row>
    <row r="104" spans="1:56" ht="26.25" customHeight="1" x14ac:dyDescent="0.2">
      <c r="A104" s="1279"/>
      <c r="B104" s="1280"/>
      <c r="C104" s="1280"/>
      <c r="D104" s="1280"/>
      <c r="E104" s="1280"/>
      <c r="F104" s="1280"/>
      <c r="G104" s="1280"/>
      <c r="H104" s="1280"/>
      <c r="I104" s="1280"/>
      <c r="J104" s="1306"/>
      <c r="K104" s="1307" t="s">
        <v>619</v>
      </c>
      <c r="L104" s="1308"/>
      <c r="M104" s="1308"/>
      <c r="N104" s="1308"/>
      <c r="O104" s="1309"/>
      <c r="P104" s="365"/>
      <c r="Q104" s="400"/>
      <c r="R104" s="355" t="str">
        <f>IF(COUNTBLANK(P104:Q104)=2,"Please enter response.",IF(COUNTBLANK(P104:Q104)&lt;&gt;1,"Please VERIFY response.",""))</f>
        <v>Please enter response.</v>
      </c>
      <c r="S104" s="366" t="str">
        <f>IF(AND(ISBLANK(P104),ISBLANK(Q104)),"",IF(ISBLANK(P104),0,1))</f>
        <v/>
      </c>
      <c r="T104" s="233" t="s">
        <v>589</v>
      </c>
      <c r="U104" s="200"/>
      <c r="V104" s="200"/>
      <c r="W104" s="349"/>
      <c r="X104" s="349"/>
      <c r="Y104" s="349"/>
      <c r="Z104" s="349"/>
      <c r="AA104" s="378"/>
      <c r="AB104" s="378"/>
      <c r="AC104" s="378"/>
      <c r="AD104" s="198"/>
      <c r="AE104" s="122"/>
      <c r="AF104" s="122"/>
      <c r="AG104" s="122"/>
      <c r="AH104" s="122"/>
      <c r="AI104" s="122"/>
      <c r="AJ104" s="122"/>
      <c r="AK104" s="122"/>
      <c r="AL104" s="122"/>
      <c r="AM104" s="122"/>
      <c r="AN104" s="122"/>
      <c r="AO104" s="122"/>
      <c r="AP104" s="122"/>
      <c r="AQ104" s="122"/>
      <c r="AR104" s="122"/>
      <c r="AS104" s="122"/>
      <c r="AT104" s="122"/>
      <c r="AU104" s="122"/>
      <c r="AV104" s="122"/>
      <c r="AW104" s="122"/>
      <c r="AX104" s="122"/>
      <c r="AY104" s="122"/>
      <c r="AZ104" s="124"/>
      <c r="BA104" s="356" t="str">
        <f t="shared" si="11"/>
        <v/>
      </c>
      <c r="BB104" s="356" t="str">
        <f t="shared" si="15"/>
        <v/>
      </c>
      <c r="BC104" s="356" t="str">
        <f>U494</f>
        <v/>
      </c>
    </row>
    <row r="105" spans="1:56" ht="26.25" customHeight="1" x14ac:dyDescent="0.2">
      <c r="A105" s="1310" t="s">
        <v>620</v>
      </c>
      <c r="B105" s="1311"/>
      <c r="C105" s="1311"/>
      <c r="D105" s="1311"/>
      <c r="E105" s="1311"/>
      <c r="F105" s="1311"/>
      <c r="G105" s="1311"/>
      <c r="H105" s="1311"/>
      <c r="I105" s="1311"/>
      <c r="J105" s="1311"/>
      <c r="K105" s="1311"/>
      <c r="L105" s="1311"/>
      <c r="M105" s="1311"/>
      <c r="N105" s="1311"/>
      <c r="O105" s="1311"/>
      <c r="P105" s="1311"/>
      <c r="Q105" s="1312"/>
      <c r="R105" s="534" t="s">
        <v>752</v>
      </c>
      <c r="S105" s="377"/>
      <c r="T105" s="368"/>
      <c r="U105" s="368"/>
      <c r="V105" s="368"/>
      <c r="W105" s="198"/>
      <c r="X105" s="380"/>
      <c r="Y105" s="380"/>
      <c r="Z105" s="380"/>
      <c r="AA105" s="380"/>
      <c r="AB105" s="380"/>
      <c r="AC105" s="380"/>
      <c r="AD105" s="198"/>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4"/>
      <c r="BA105" s="356" t="str">
        <f t="shared" si="11"/>
        <v/>
      </c>
      <c r="BB105" s="356" t="str">
        <f t="shared" si="15"/>
        <v/>
      </c>
      <c r="BC105" s="356" t="str">
        <f>V494</f>
        <v/>
      </c>
    </row>
    <row r="106" spans="1:56" ht="26.25" customHeight="1" x14ac:dyDescent="0.2">
      <c r="A106" s="1313" t="s">
        <v>621</v>
      </c>
      <c r="B106" s="1314"/>
      <c r="C106" s="1314"/>
      <c r="D106" s="1314"/>
      <c r="E106" s="1314" t="s">
        <v>622</v>
      </c>
      <c r="F106" s="1314"/>
      <c r="G106" s="1314"/>
      <c r="H106" s="1314"/>
      <c r="I106" s="1314" t="s">
        <v>623</v>
      </c>
      <c r="J106" s="1314"/>
      <c r="K106" s="1314"/>
      <c r="L106" s="1314"/>
      <c r="M106" s="1315" t="s">
        <v>624</v>
      </c>
      <c r="N106" s="1314"/>
      <c r="O106" s="1314"/>
      <c r="P106" s="1314"/>
      <c r="Q106" s="1316"/>
      <c r="R106" s="534" t="s">
        <v>752</v>
      </c>
      <c r="S106" s="1298" t="s">
        <v>625</v>
      </c>
      <c r="T106" s="1298"/>
      <c r="U106" s="1298"/>
      <c r="V106" s="1298"/>
      <c r="W106" s="198"/>
      <c r="X106" s="380"/>
      <c r="Y106" s="380"/>
      <c r="Z106" s="380"/>
      <c r="AA106" s="380"/>
      <c r="AB106" s="380"/>
      <c r="AC106" s="380"/>
      <c r="AD106" s="198"/>
      <c r="AE106" s="122"/>
      <c r="AF106" s="122"/>
      <c r="AG106" s="122"/>
      <c r="AH106" s="122"/>
      <c r="AI106" s="122"/>
      <c r="AJ106" s="122"/>
      <c r="AK106" s="122"/>
      <c r="AL106" s="122"/>
      <c r="AM106" s="122"/>
      <c r="AN106" s="122"/>
      <c r="AO106" s="122"/>
      <c r="AP106" s="122"/>
      <c r="AQ106" s="122"/>
      <c r="AR106" s="122"/>
      <c r="AS106" s="122"/>
      <c r="AT106" s="122"/>
      <c r="AU106" s="122"/>
      <c r="AV106" s="122"/>
      <c r="AW106" s="122"/>
      <c r="AX106" s="122"/>
      <c r="AY106" s="122"/>
      <c r="AZ106" s="124"/>
      <c r="BA106" s="356" t="str">
        <f t="shared" si="11"/>
        <v/>
      </c>
      <c r="BB106" s="356" t="str">
        <f t="shared" si="15"/>
        <v/>
      </c>
      <c r="BC106" s="356" t="str">
        <f>S496</f>
        <v/>
      </c>
    </row>
    <row r="107" spans="1:56" ht="26.25" customHeight="1" thickBot="1" x14ac:dyDescent="0.25">
      <c r="A107" s="1299"/>
      <c r="B107" s="848"/>
      <c r="C107" s="848"/>
      <c r="D107" s="848"/>
      <c r="E107" s="848"/>
      <c r="F107" s="848"/>
      <c r="G107" s="848"/>
      <c r="H107" s="848"/>
      <c r="I107" s="848"/>
      <c r="J107" s="848"/>
      <c r="K107" s="848"/>
      <c r="L107" s="848"/>
      <c r="M107" s="1300"/>
      <c r="N107" s="1300"/>
      <c r="O107" s="1300"/>
      <c r="P107" s="1300"/>
      <c r="Q107" s="1301"/>
      <c r="R107" s="531" t="s">
        <v>752</v>
      </c>
      <c r="S107" s="381" t="str">
        <f>IF(ISBLANK(A107),"",VLOOKUP(A107,VProjType,2,FALSE))</f>
        <v/>
      </c>
      <c r="T107" s="381" t="str">
        <f>IF(ISBLANK(E107),"",VLOOKUP(E107,VSubtype1,2,FALSE))</f>
        <v/>
      </c>
      <c r="U107" s="381" t="str">
        <f>IF(ISBLANK(I107),"",VLOOKUP(I107,VSubtype2,2,FALSE))</f>
        <v/>
      </c>
      <c r="V107" s="381" t="str">
        <f>IF(ISBLANK(M107),"",VLOOKUP(M107,VSubtype3,2,FALSE))</f>
        <v/>
      </c>
      <c r="W107" s="198"/>
      <c r="X107" s="380"/>
      <c r="Y107" s="380"/>
      <c r="Z107" s="380"/>
      <c r="AA107" s="380"/>
      <c r="AB107" s="380"/>
      <c r="AC107" s="380"/>
      <c r="AD107" s="198"/>
      <c r="AE107" s="122"/>
      <c r="AF107" s="122"/>
      <c r="AG107" s="122"/>
      <c r="AH107" s="122"/>
      <c r="AI107" s="122"/>
      <c r="AJ107" s="122"/>
      <c r="AK107" s="122"/>
      <c r="AL107" s="122"/>
      <c r="AM107" s="122"/>
      <c r="AN107" s="122"/>
      <c r="AO107" s="122"/>
      <c r="AP107" s="122"/>
      <c r="AQ107" s="122"/>
      <c r="AR107" s="122"/>
      <c r="AS107" s="122"/>
      <c r="AT107" s="122"/>
      <c r="AU107" s="122"/>
      <c r="AV107" s="122"/>
      <c r="AW107" s="122"/>
      <c r="AX107" s="122"/>
      <c r="AY107" s="122"/>
      <c r="AZ107" s="124"/>
      <c r="BA107" s="356" t="str">
        <f t="shared" si="11"/>
        <v/>
      </c>
      <c r="BB107" s="356" t="str">
        <f t="shared" si="15"/>
        <v/>
      </c>
      <c r="BC107" s="356" t="str">
        <f>S497</f>
        <v/>
      </c>
    </row>
    <row r="108" spans="1:56" ht="26.25" customHeight="1" x14ac:dyDescent="0.2">
      <c r="A108" s="1302" t="s">
        <v>627</v>
      </c>
      <c r="B108" s="1303"/>
      <c r="C108" s="1303"/>
      <c r="D108" s="1303"/>
      <c r="E108" s="1303"/>
      <c r="F108" s="1303"/>
      <c r="G108" s="1303"/>
      <c r="H108" s="1303"/>
      <c r="I108" s="1303"/>
      <c r="J108" s="1303"/>
      <c r="K108" s="1303"/>
      <c r="L108" s="1303"/>
      <c r="M108" s="1303"/>
      <c r="N108" s="1303"/>
      <c r="O108" s="1303"/>
      <c r="P108" s="1303"/>
      <c r="Q108" s="1304"/>
      <c r="R108" s="531" t="s">
        <v>752</v>
      </c>
      <c r="S108" s="382" t="s">
        <v>628</v>
      </c>
      <c r="T108" s="378"/>
      <c r="U108" s="378"/>
      <c r="V108" s="378"/>
      <c r="W108" s="349"/>
      <c r="X108" s="380"/>
      <c r="Y108" s="380"/>
      <c r="Z108" s="380"/>
      <c r="AA108" s="380"/>
      <c r="AB108" s="380"/>
      <c r="AC108" s="380"/>
      <c r="AD108" s="198"/>
      <c r="AE108" s="122"/>
      <c r="AF108" s="122"/>
      <c r="AG108" s="122"/>
      <c r="AH108" s="122"/>
      <c r="AI108" s="122"/>
      <c r="AJ108" s="122"/>
      <c r="AK108" s="122"/>
      <c r="AL108" s="122"/>
      <c r="AM108" s="122"/>
      <c r="AN108" s="122"/>
      <c r="AO108" s="122"/>
      <c r="AP108" s="122"/>
      <c r="AQ108" s="122"/>
      <c r="AR108" s="122"/>
      <c r="AS108" s="122"/>
      <c r="AT108" s="122"/>
      <c r="AU108" s="122"/>
      <c r="AV108" s="122"/>
      <c r="AW108" s="122"/>
      <c r="AX108" s="122"/>
      <c r="AY108" s="122"/>
      <c r="AZ108" s="124"/>
      <c r="BA108" s="356" t="str">
        <f t="shared" si="11"/>
        <v/>
      </c>
      <c r="BB108" s="356" t="str">
        <f t="shared" si="15"/>
        <v/>
      </c>
      <c r="BC108" s="356" t="str">
        <f>S498</f>
        <v/>
      </c>
    </row>
    <row r="109" spans="1:56" ht="26.25" customHeight="1" x14ac:dyDescent="0.2">
      <c r="A109" s="1269" t="s">
        <v>629</v>
      </c>
      <c r="B109" s="1270"/>
      <c r="C109" s="1270"/>
      <c r="D109" s="1270"/>
      <c r="E109" s="1270"/>
      <c r="F109" s="1270"/>
      <c r="G109" s="1270"/>
      <c r="H109" s="1270"/>
      <c r="I109" s="1270"/>
      <c r="J109" s="1270"/>
      <c r="K109" s="1270"/>
      <c r="L109" s="1271"/>
      <c r="M109" s="1272"/>
      <c r="N109" s="1273"/>
      <c r="O109" s="1273"/>
      <c r="P109" s="1273"/>
      <c r="Q109" s="1274"/>
      <c r="R109" s="531" t="s">
        <v>752</v>
      </c>
      <c r="S109" s="383" t="str">
        <f>IF(ISBLANK(M109),"",VLOOKUP(M109,VRemote,2,FALSE))</f>
        <v/>
      </c>
      <c r="T109" s="384" t="s">
        <v>630</v>
      </c>
      <c r="U109" s="378"/>
      <c r="V109" s="378"/>
      <c r="W109" s="380"/>
      <c r="X109" s="380"/>
      <c r="Y109" s="380"/>
      <c r="Z109" s="380"/>
      <c r="AA109" s="380"/>
      <c r="AB109" s="380"/>
      <c r="AC109" s="380"/>
      <c r="AD109" s="198"/>
      <c r="AE109" s="122"/>
      <c r="AF109" s="122"/>
      <c r="AG109" s="122"/>
      <c r="AH109" s="122"/>
      <c r="AI109" s="122"/>
      <c r="AJ109" s="122"/>
      <c r="AK109" s="122"/>
      <c r="AL109" s="122"/>
      <c r="AM109" s="122"/>
      <c r="AN109" s="122"/>
      <c r="AO109" s="122"/>
      <c r="AP109" s="122"/>
      <c r="AQ109" s="122"/>
      <c r="AR109" s="122"/>
      <c r="AS109" s="122"/>
      <c r="AT109" s="122"/>
      <c r="AU109" s="122"/>
      <c r="AV109" s="122"/>
      <c r="AW109" s="122"/>
      <c r="AX109" s="122"/>
      <c r="AY109" s="122"/>
      <c r="AZ109" s="124"/>
      <c r="BA109" s="356" t="str">
        <f t="shared" si="11"/>
        <v/>
      </c>
      <c r="BB109" s="356" t="str">
        <f t="shared" si="15"/>
        <v/>
      </c>
      <c r="BC109" s="356" t="str">
        <f>S506</f>
        <v/>
      </c>
    </row>
    <row r="110" spans="1:56" ht="26.25" customHeight="1" x14ac:dyDescent="0.2">
      <c r="A110" s="1269" t="s">
        <v>631</v>
      </c>
      <c r="B110" s="1270"/>
      <c r="C110" s="1270"/>
      <c r="D110" s="1270"/>
      <c r="E110" s="1270"/>
      <c r="F110" s="1270"/>
      <c r="G110" s="1270"/>
      <c r="H110" s="1270"/>
      <c r="I110" s="1270"/>
      <c r="J110" s="1270"/>
      <c r="K110" s="1270"/>
      <c r="L110" s="1270"/>
      <c r="M110" s="1272"/>
      <c r="N110" s="1273"/>
      <c r="O110" s="1273"/>
      <c r="P110" s="1273"/>
      <c r="Q110" s="1274"/>
      <c r="R110" s="531" t="s">
        <v>752</v>
      </c>
      <c r="S110" s="383" t="str">
        <f>IF(ISBLANK(M110),"",VLOOKUP(M110,VCapacity,2,FALSE))</f>
        <v/>
      </c>
      <c r="T110" s="151" t="s">
        <v>632</v>
      </c>
      <c r="U110" s="380"/>
      <c r="V110" s="380"/>
      <c r="W110" s="380"/>
      <c r="X110" s="380"/>
      <c r="Y110" s="380"/>
      <c r="Z110" s="380"/>
      <c r="AA110" s="380"/>
      <c r="AB110" s="380"/>
      <c r="AC110" s="380"/>
      <c r="AD110" s="198"/>
      <c r="AE110" s="122"/>
      <c r="AF110" s="122"/>
      <c r="AG110" s="122"/>
      <c r="AH110" s="122"/>
      <c r="AI110" s="122"/>
      <c r="AJ110" s="122"/>
      <c r="AK110" s="122"/>
      <c r="AL110" s="122"/>
      <c r="AM110" s="122"/>
      <c r="AN110" s="122"/>
      <c r="AO110" s="122"/>
      <c r="AP110" s="122"/>
      <c r="AQ110" s="122"/>
      <c r="AR110" s="122"/>
      <c r="AS110" s="122"/>
      <c r="AT110" s="122"/>
      <c r="AU110" s="122"/>
      <c r="AV110" s="122"/>
      <c r="AW110" s="122"/>
      <c r="AX110" s="122"/>
      <c r="AY110" s="122"/>
      <c r="AZ110" s="124"/>
      <c r="BA110" s="356" t="str">
        <f t="shared" si="11"/>
        <v/>
      </c>
      <c r="BB110" s="356" t="str">
        <f t="shared" si="15"/>
        <v/>
      </c>
      <c r="BC110" s="356" t="str">
        <f>S507</f>
        <v/>
      </c>
    </row>
    <row r="111" spans="1:56" ht="26.25" customHeight="1" x14ac:dyDescent="0.2">
      <c r="A111" s="1269" t="s">
        <v>633</v>
      </c>
      <c r="B111" s="1270"/>
      <c r="C111" s="1270"/>
      <c r="D111" s="1270"/>
      <c r="E111" s="1270"/>
      <c r="F111" s="1270"/>
      <c r="G111" s="1270"/>
      <c r="H111" s="1270"/>
      <c r="I111" s="1270"/>
      <c r="J111" s="1270"/>
      <c r="K111" s="1270"/>
      <c r="L111" s="1270"/>
      <c r="M111" s="1272"/>
      <c r="N111" s="1273"/>
      <c r="O111" s="1273"/>
      <c r="P111" s="1273"/>
      <c r="Q111" s="1274"/>
      <c r="R111" s="531" t="s">
        <v>752</v>
      </c>
      <c r="S111" s="383" t="str">
        <f>IF(ISBLANK(M111),"",VLOOKUP(M111,VPriorCap,2,FALSE))</f>
        <v/>
      </c>
      <c r="T111" s="151" t="s">
        <v>634</v>
      </c>
      <c r="U111" s="380"/>
      <c r="V111" s="380"/>
      <c r="W111" s="380"/>
      <c r="X111" s="380"/>
      <c r="Y111" s="380"/>
      <c r="Z111" s="380"/>
      <c r="AA111" s="380"/>
      <c r="AB111" s="380"/>
      <c r="AC111" s="380"/>
      <c r="AD111" s="198"/>
      <c r="AE111" s="122"/>
      <c r="AF111" s="122"/>
      <c r="AG111" s="122"/>
      <c r="AH111" s="122"/>
      <c r="AI111" s="122"/>
      <c r="AJ111" s="122"/>
      <c r="AK111" s="122"/>
      <c r="AL111" s="122"/>
      <c r="AM111" s="122"/>
      <c r="AN111" s="122"/>
      <c r="AO111" s="122"/>
      <c r="AP111" s="122"/>
      <c r="AQ111" s="122"/>
      <c r="AR111" s="122"/>
      <c r="AS111" s="122"/>
      <c r="AT111" s="122"/>
      <c r="AU111" s="122"/>
      <c r="AV111" s="122"/>
      <c r="AW111" s="122"/>
      <c r="AX111" s="122"/>
      <c r="AY111" s="122"/>
      <c r="AZ111" s="122"/>
    </row>
    <row r="112" spans="1:56" ht="26.25" customHeight="1" x14ac:dyDescent="0.2">
      <c r="A112" s="1286" t="s">
        <v>636</v>
      </c>
      <c r="B112" s="1287"/>
      <c r="C112" s="1287"/>
      <c r="D112" s="1287"/>
      <c r="E112" s="1287"/>
      <c r="F112" s="1287"/>
      <c r="G112" s="1287"/>
      <c r="H112" s="1287"/>
      <c r="I112" s="1287"/>
      <c r="J112" s="1287"/>
      <c r="K112" s="1287"/>
      <c r="L112" s="1287"/>
      <c r="M112" s="1287"/>
      <c r="N112" s="1287"/>
      <c r="O112" s="1287"/>
      <c r="P112" s="1287"/>
      <c r="Q112" s="1288"/>
      <c r="R112" s="531" t="s">
        <v>752</v>
      </c>
      <c r="S112" s="386" t="str">
        <f>IF(ISBLANK(A113),"",A113)</f>
        <v/>
      </c>
      <c r="T112" s="151" t="s">
        <v>583</v>
      </c>
      <c r="U112" s="380"/>
      <c r="V112" s="380"/>
      <c r="W112" s="380"/>
      <c r="X112" s="380"/>
      <c r="Y112" s="380"/>
      <c r="Z112" s="380"/>
      <c r="AA112" s="380"/>
      <c r="AB112" s="380"/>
      <c r="AC112" s="380"/>
      <c r="AD112" s="198"/>
      <c r="AE112" s="122"/>
      <c r="AF112" s="122"/>
      <c r="AG112" s="122"/>
      <c r="AH112" s="122"/>
      <c r="AI112" s="122"/>
      <c r="AJ112" s="122"/>
      <c r="AK112" s="122"/>
      <c r="AL112" s="122"/>
      <c r="AM112" s="122"/>
      <c r="AN112" s="122"/>
      <c r="AO112" s="122"/>
      <c r="AP112" s="122"/>
      <c r="AQ112" s="122"/>
      <c r="AR112" s="122"/>
      <c r="AS112" s="122"/>
      <c r="AT112" s="122"/>
      <c r="AU112" s="122"/>
      <c r="AV112" s="122"/>
      <c r="AW112" s="122"/>
      <c r="AX112" s="122"/>
      <c r="AY112" s="122"/>
      <c r="AZ112" s="122"/>
    </row>
    <row r="113" spans="1:52" ht="26.25" customHeight="1" x14ac:dyDescent="0.2">
      <c r="A113" s="1278"/>
      <c r="B113" s="1255"/>
      <c r="C113" s="1255"/>
      <c r="D113" s="1255"/>
      <c r="E113" s="1255"/>
      <c r="F113" s="1255"/>
      <c r="G113" s="1255"/>
      <c r="H113" s="1255"/>
      <c r="I113" s="1255"/>
      <c r="J113" s="1255"/>
      <c r="K113" s="1255"/>
      <c r="L113" s="1255"/>
      <c r="M113" s="1255"/>
      <c r="N113" s="1255"/>
      <c r="O113" s="1255"/>
      <c r="P113" s="1255"/>
      <c r="Q113" s="1285"/>
      <c r="R113" s="531" t="s">
        <v>752</v>
      </c>
      <c r="S113" s="380"/>
      <c r="T113" s="380"/>
      <c r="U113" s="380"/>
      <c r="V113" s="380"/>
      <c r="W113" s="380"/>
      <c r="X113" s="380"/>
      <c r="Y113" s="380"/>
      <c r="Z113" s="380"/>
      <c r="AA113" s="380"/>
      <c r="AB113" s="380"/>
      <c r="AC113" s="380"/>
      <c r="AD113" s="198"/>
      <c r="AE113" s="122"/>
      <c r="AF113" s="122"/>
      <c r="AG113" s="122"/>
      <c r="AH113" s="122"/>
      <c r="AI113" s="122"/>
      <c r="AJ113" s="122"/>
      <c r="AK113" s="122"/>
      <c r="AL113" s="122"/>
      <c r="AM113" s="122"/>
      <c r="AN113" s="122"/>
      <c r="AO113" s="122"/>
      <c r="AP113" s="122"/>
      <c r="AQ113" s="122"/>
      <c r="AR113" s="122"/>
      <c r="AS113" s="122"/>
      <c r="AT113" s="122"/>
      <c r="AU113" s="122"/>
      <c r="AV113" s="122"/>
      <c r="AW113" s="122"/>
      <c r="AX113" s="122"/>
      <c r="AY113" s="122"/>
      <c r="AZ113" s="122"/>
    </row>
    <row r="114" spans="1:52" ht="26.25" customHeight="1" x14ac:dyDescent="0.2">
      <c r="A114" s="1289"/>
      <c r="B114" s="1290"/>
      <c r="C114" s="1290"/>
      <c r="D114" s="1290"/>
      <c r="E114" s="1290"/>
      <c r="F114" s="1290"/>
      <c r="G114" s="1290"/>
      <c r="H114" s="1290"/>
      <c r="I114" s="1290"/>
      <c r="J114" s="1290"/>
      <c r="K114" s="1290"/>
      <c r="L114" s="1290"/>
      <c r="M114" s="1290"/>
      <c r="N114" s="1290"/>
      <c r="O114" s="1290"/>
      <c r="P114" s="1290"/>
      <c r="Q114" s="1291"/>
      <c r="R114" s="531" t="s">
        <v>752</v>
      </c>
      <c r="S114" s="380"/>
      <c r="T114" s="380"/>
      <c r="U114" s="380"/>
      <c r="V114" s="380"/>
      <c r="W114" s="380"/>
      <c r="X114" s="198"/>
      <c r="Y114" s="198"/>
      <c r="Z114" s="198"/>
      <c r="AA114" s="388"/>
      <c r="AB114" s="388"/>
      <c r="AC114" s="388"/>
      <c r="AD114" s="198"/>
      <c r="AE114" s="122"/>
      <c r="AF114" s="122"/>
      <c r="AG114" s="122"/>
      <c r="AH114" s="122"/>
      <c r="AI114" s="122"/>
      <c r="AJ114" s="122"/>
      <c r="AK114" s="122"/>
      <c r="AL114" s="124"/>
      <c r="AM114" s="122"/>
      <c r="AN114" s="122"/>
      <c r="AO114" s="122"/>
      <c r="AP114" s="122"/>
      <c r="AQ114" s="122"/>
      <c r="AR114" s="122"/>
      <c r="AS114" s="122"/>
      <c r="AT114" s="122"/>
      <c r="AU114" s="122"/>
      <c r="AV114" s="122"/>
      <c r="AW114" s="122"/>
      <c r="AX114" s="122"/>
      <c r="AY114" s="122"/>
      <c r="AZ114" s="122"/>
    </row>
    <row r="115" spans="1:52" ht="26.25" customHeight="1" x14ac:dyDescent="0.2">
      <c r="A115" s="1292" t="s">
        <v>638</v>
      </c>
      <c r="B115" s="1293"/>
      <c r="C115" s="1293"/>
      <c r="D115" s="1293"/>
      <c r="E115" s="1293"/>
      <c r="F115" s="1293"/>
      <c r="G115" s="1293"/>
      <c r="H115" s="1293"/>
      <c r="I115" s="1293"/>
      <c r="J115" s="1293"/>
      <c r="K115" s="1293"/>
      <c r="L115" s="1293"/>
      <c r="M115" s="1293"/>
      <c r="N115" s="1293"/>
      <c r="O115" s="1293"/>
      <c r="P115" s="1293"/>
      <c r="Q115" s="1294"/>
      <c r="R115" s="534" t="s">
        <v>752</v>
      </c>
      <c r="S115" s="382"/>
      <c r="T115" s="382"/>
      <c r="U115" s="382"/>
      <c r="V115" s="382"/>
      <c r="W115" s="380"/>
      <c r="X115" s="378"/>
      <c r="Y115" s="378"/>
      <c r="Z115" s="378"/>
      <c r="AA115" s="394"/>
      <c r="AB115" s="394"/>
      <c r="AC115" s="394"/>
      <c r="AD115" s="198"/>
      <c r="AE115" s="122"/>
      <c r="AF115" s="122"/>
      <c r="AG115" s="122"/>
      <c r="AH115" s="122"/>
      <c r="AI115" s="122"/>
      <c r="AJ115" s="122"/>
      <c r="AK115" s="122"/>
      <c r="AL115" s="124"/>
      <c r="AM115" s="122"/>
      <c r="AN115" s="122"/>
      <c r="AO115" s="122"/>
      <c r="AP115" s="122"/>
      <c r="AQ115" s="122"/>
      <c r="AR115" s="122"/>
      <c r="AS115" s="122"/>
      <c r="AT115" s="122"/>
      <c r="AU115" s="122"/>
      <c r="AV115" s="122"/>
      <c r="AW115" s="122"/>
      <c r="AX115" s="122"/>
      <c r="AY115" s="122"/>
      <c r="AZ115" s="122"/>
    </row>
    <row r="116" spans="1:52" ht="26.25" customHeight="1" x14ac:dyDescent="0.2">
      <c r="A116" s="1278"/>
      <c r="B116" s="1255"/>
      <c r="C116" s="1255"/>
      <c r="D116" s="1255"/>
      <c r="E116" s="1255"/>
      <c r="F116" s="1255"/>
      <c r="G116" s="1255"/>
      <c r="H116" s="1255"/>
      <c r="I116" s="1255"/>
      <c r="J116" s="1255"/>
      <c r="K116" s="1255"/>
      <c r="L116" s="1255"/>
      <c r="M116" s="1255"/>
      <c r="N116" s="1255"/>
      <c r="O116" s="1255"/>
      <c r="P116" s="1255"/>
      <c r="Q116" s="1256"/>
      <c r="R116" s="534" t="s">
        <v>752</v>
      </c>
      <c r="S116" s="386" t="str">
        <f>IF(ISBLANK(A116),"",A116)</f>
        <v/>
      </c>
      <c r="T116" s="354" t="s">
        <v>194</v>
      </c>
      <c r="U116" s="380"/>
      <c r="V116" s="380"/>
      <c r="W116" s="380"/>
      <c r="X116" s="380"/>
      <c r="Y116" s="380"/>
      <c r="Z116" s="380"/>
      <c r="AA116" s="198"/>
      <c r="AB116" s="198"/>
      <c r="AC116" s="198"/>
      <c r="AD116" s="198"/>
      <c r="AE116" s="122"/>
      <c r="AF116" s="122"/>
      <c r="AG116" s="122"/>
      <c r="AH116" s="122"/>
      <c r="AI116" s="122"/>
      <c r="AJ116" s="122"/>
      <c r="AK116" s="122"/>
      <c r="AL116" s="124"/>
      <c r="AM116" s="122"/>
      <c r="AN116" s="122"/>
      <c r="AO116" s="122"/>
      <c r="AP116" s="122"/>
      <c r="AQ116" s="122"/>
      <c r="AR116" s="122"/>
      <c r="AS116" s="122"/>
      <c r="AT116" s="122"/>
      <c r="AU116" s="122"/>
      <c r="AV116" s="122"/>
      <c r="AW116" s="122"/>
      <c r="AX116" s="122"/>
      <c r="AY116" s="122"/>
      <c r="AZ116" s="122"/>
    </row>
    <row r="117" spans="1:52" ht="26.25" customHeight="1" thickBot="1" x14ac:dyDescent="0.25">
      <c r="A117" s="1266"/>
      <c r="B117" s="1267"/>
      <c r="C117" s="1267"/>
      <c r="D117" s="1267"/>
      <c r="E117" s="1267"/>
      <c r="F117" s="1267"/>
      <c r="G117" s="1267"/>
      <c r="H117" s="1267"/>
      <c r="I117" s="1267"/>
      <c r="J117" s="1267"/>
      <c r="K117" s="1267"/>
      <c r="L117" s="1267"/>
      <c r="M117" s="1267"/>
      <c r="N117" s="1267"/>
      <c r="O117" s="1267"/>
      <c r="P117" s="1267"/>
      <c r="Q117" s="1268"/>
      <c r="R117" s="531" t="s">
        <v>752</v>
      </c>
      <c r="S117" s="380"/>
      <c r="T117" s="354"/>
      <c r="U117" s="380"/>
      <c r="V117" s="380"/>
      <c r="W117" s="380"/>
      <c r="X117" s="380"/>
      <c r="Y117" s="380"/>
      <c r="Z117" s="380"/>
      <c r="AA117" s="198"/>
      <c r="AB117" s="198"/>
      <c r="AC117" s="198"/>
      <c r="AD117" s="198"/>
      <c r="AE117" s="122"/>
      <c r="AF117" s="122"/>
      <c r="AG117" s="122"/>
      <c r="AH117" s="122"/>
      <c r="AI117" s="122"/>
      <c r="AJ117" s="122"/>
      <c r="AK117" s="122"/>
      <c r="AL117" s="124"/>
      <c r="AM117" s="122"/>
      <c r="AN117" s="122"/>
      <c r="AO117" s="122"/>
      <c r="AP117" s="122"/>
      <c r="AQ117" s="122"/>
      <c r="AR117" s="122"/>
      <c r="AS117" s="122"/>
      <c r="AT117" s="122"/>
      <c r="AU117" s="122"/>
      <c r="AV117" s="122"/>
      <c r="AW117" s="122"/>
      <c r="AX117" s="122"/>
      <c r="AY117" s="122"/>
      <c r="AZ117" s="122"/>
    </row>
    <row r="118" spans="1:52" ht="26.25" customHeight="1" x14ac:dyDescent="0.2">
      <c r="A118" s="1260" t="s">
        <v>640</v>
      </c>
      <c r="B118" s="1261"/>
      <c r="C118" s="1261"/>
      <c r="D118" s="1261"/>
      <c r="E118" s="1261"/>
      <c r="F118" s="1261"/>
      <c r="G118" s="1261"/>
      <c r="H118" s="1261"/>
      <c r="I118" s="1261"/>
      <c r="J118" s="1261"/>
      <c r="K118" s="1261"/>
      <c r="L118" s="1261"/>
      <c r="M118" s="1261"/>
      <c r="N118" s="1261"/>
      <c r="O118" s="1261"/>
      <c r="P118" s="1261"/>
      <c r="Q118" s="1262"/>
      <c r="R118" s="531" t="s">
        <v>752</v>
      </c>
      <c r="S118" s="382" t="s">
        <v>641</v>
      </c>
      <c r="T118" s="378"/>
      <c r="U118" s="378"/>
      <c r="V118" s="378"/>
      <c r="W118" s="198"/>
      <c r="X118" s="380"/>
      <c r="Y118" s="380"/>
      <c r="Z118" s="380"/>
      <c r="AA118" s="198"/>
      <c r="AB118" s="198"/>
      <c r="AC118" s="198"/>
      <c r="AD118" s="198"/>
      <c r="AE118" s="122"/>
      <c r="AF118" s="122"/>
      <c r="AG118" s="122"/>
      <c r="AH118" s="122"/>
      <c r="AI118" s="122"/>
      <c r="AJ118" s="122"/>
      <c r="AK118" s="122"/>
      <c r="AL118" s="124"/>
      <c r="AM118" s="122"/>
      <c r="AN118" s="122"/>
      <c r="AO118" s="122"/>
      <c r="AP118" s="122"/>
      <c r="AQ118" s="122"/>
      <c r="AR118" s="122"/>
      <c r="AS118" s="122"/>
      <c r="AT118" s="122"/>
      <c r="AU118" s="122"/>
      <c r="AV118" s="122"/>
      <c r="AW118" s="122"/>
      <c r="AX118" s="122"/>
      <c r="AY118" s="122"/>
      <c r="AZ118" s="122"/>
    </row>
    <row r="119" spans="1:52" ht="26.25" customHeight="1" x14ac:dyDescent="0.2">
      <c r="A119" s="1295" t="s">
        <v>642</v>
      </c>
      <c r="B119" s="1296"/>
      <c r="C119" s="1296"/>
      <c r="D119" s="1296"/>
      <c r="E119" s="1296"/>
      <c r="F119" s="1296"/>
      <c r="G119" s="1296"/>
      <c r="H119" s="1296"/>
      <c r="I119" s="1296"/>
      <c r="J119" s="1296"/>
      <c r="K119" s="1296"/>
      <c r="L119" s="1297"/>
      <c r="M119" s="1272"/>
      <c r="N119" s="1273"/>
      <c r="O119" s="1273"/>
      <c r="P119" s="1273"/>
      <c r="Q119" s="1274"/>
      <c r="R119" s="531" t="s">
        <v>752</v>
      </c>
      <c r="S119" s="387" t="str">
        <f>IF(ISBLANK(M119),"",VLOOKUP(M119,VImpact,2,FALSE))</f>
        <v/>
      </c>
      <c r="T119" s="151" t="s">
        <v>643</v>
      </c>
      <c r="U119" s="380"/>
      <c r="V119" s="380"/>
      <c r="W119" s="378"/>
      <c r="X119" s="380"/>
      <c r="Y119" s="380"/>
      <c r="Z119" s="380"/>
      <c r="AA119" s="198"/>
      <c r="AB119" s="198"/>
      <c r="AC119" s="198"/>
      <c r="AD119" s="198"/>
      <c r="AE119" s="122"/>
      <c r="AF119" s="122"/>
      <c r="AG119" s="122"/>
      <c r="AH119" s="122"/>
      <c r="AI119" s="122"/>
      <c r="AJ119" s="122"/>
      <c r="AK119" s="122"/>
      <c r="AL119" s="124"/>
      <c r="AM119" s="122"/>
      <c r="AN119" s="122"/>
      <c r="AO119" s="122"/>
      <c r="AP119" s="122"/>
      <c r="AQ119" s="122"/>
      <c r="AR119" s="122"/>
      <c r="AS119" s="122"/>
      <c r="AT119" s="122"/>
      <c r="AU119" s="122"/>
      <c r="AV119" s="122"/>
      <c r="AW119" s="122"/>
      <c r="AX119" s="122"/>
      <c r="AY119" s="122"/>
      <c r="AZ119" s="122"/>
    </row>
    <row r="120" spans="1:52" ht="26.25" customHeight="1" x14ac:dyDescent="0.2">
      <c r="A120" s="1269" t="s">
        <v>644</v>
      </c>
      <c r="B120" s="1270"/>
      <c r="C120" s="1270"/>
      <c r="D120" s="1270"/>
      <c r="E120" s="1270"/>
      <c r="F120" s="1270"/>
      <c r="G120" s="1270"/>
      <c r="H120" s="1270"/>
      <c r="I120" s="1270"/>
      <c r="J120" s="1270"/>
      <c r="K120" s="1270"/>
      <c r="L120" s="1271"/>
      <c r="M120" s="1272"/>
      <c r="N120" s="1273"/>
      <c r="O120" s="1273"/>
      <c r="P120" s="1273"/>
      <c r="Q120" s="1274"/>
      <c r="R120" s="531" t="s">
        <v>752</v>
      </c>
      <c r="S120" s="387" t="str">
        <f>IF(ISBLANK(M120),"",VLOOKUP(M120,VEvidence,2,FALSE))</f>
        <v/>
      </c>
      <c r="T120" s="233" t="s">
        <v>645</v>
      </c>
      <c r="U120" s="380"/>
      <c r="V120" s="380"/>
      <c r="W120" s="380"/>
      <c r="X120" s="380"/>
      <c r="Y120" s="380"/>
      <c r="Z120" s="380"/>
      <c r="AA120" s="198"/>
      <c r="AB120" s="198"/>
      <c r="AC120" s="198"/>
      <c r="AD120" s="198"/>
      <c r="AE120" s="122"/>
      <c r="AF120" s="122"/>
      <c r="AG120" s="122"/>
      <c r="AH120" s="122"/>
      <c r="AI120" s="122"/>
      <c r="AJ120" s="122"/>
      <c r="AK120" s="122"/>
      <c r="AL120" s="124"/>
      <c r="AM120" s="122"/>
      <c r="AN120" s="122"/>
      <c r="AO120" s="122"/>
      <c r="AP120" s="122"/>
      <c r="AQ120" s="122"/>
      <c r="AR120" s="122"/>
      <c r="AS120" s="122"/>
      <c r="AT120" s="122"/>
      <c r="AU120" s="122"/>
      <c r="AV120" s="122"/>
      <c r="AW120" s="122"/>
      <c r="AX120" s="122"/>
      <c r="AY120" s="122"/>
      <c r="AZ120" s="122"/>
    </row>
    <row r="121" spans="1:52" ht="26.25" customHeight="1" x14ac:dyDescent="0.2">
      <c r="A121" s="1275" t="s">
        <v>646</v>
      </c>
      <c r="B121" s="1276"/>
      <c r="C121" s="1276"/>
      <c r="D121" s="1276"/>
      <c r="E121" s="1276"/>
      <c r="F121" s="1276"/>
      <c r="G121" s="1276"/>
      <c r="H121" s="1276"/>
      <c r="I121" s="1276"/>
      <c r="J121" s="1276"/>
      <c r="K121" s="1276"/>
      <c r="L121" s="1276"/>
      <c r="M121" s="1276"/>
      <c r="N121" s="1276"/>
      <c r="O121" s="1276"/>
      <c r="P121" s="1276"/>
      <c r="Q121" s="1277"/>
      <c r="R121" s="531" t="s">
        <v>752</v>
      </c>
      <c r="S121" s="386" t="str">
        <f>IF(ISBLANK(A122),"",A122)</f>
        <v/>
      </c>
      <c r="T121" s="354" t="s">
        <v>193</v>
      </c>
      <c r="U121" s="380"/>
      <c r="V121" s="380"/>
      <c r="W121" s="380"/>
      <c r="X121" s="380"/>
      <c r="Y121" s="380"/>
      <c r="Z121" s="380"/>
      <c r="AA121" s="349"/>
      <c r="AB121" s="349"/>
      <c r="AC121" s="349"/>
      <c r="AD121" s="399"/>
      <c r="AE121" s="122"/>
      <c r="AF121" s="122"/>
      <c r="AG121" s="122"/>
      <c r="AH121" s="122"/>
      <c r="AI121" s="122"/>
      <c r="AJ121" s="122"/>
      <c r="AK121" s="122"/>
      <c r="AL121" s="124"/>
      <c r="AM121" s="122"/>
      <c r="AN121" s="122"/>
      <c r="AO121" s="122"/>
      <c r="AP121" s="122"/>
      <c r="AQ121" s="122"/>
      <c r="AR121" s="122"/>
      <c r="AS121" s="122"/>
      <c r="AT121" s="122"/>
      <c r="AU121" s="122"/>
      <c r="AV121" s="122"/>
      <c r="AW121" s="122"/>
      <c r="AX121" s="122"/>
      <c r="AY121" s="122"/>
      <c r="AZ121" s="122"/>
    </row>
    <row r="122" spans="1:52" ht="26.25" customHeight="1" x14ac:dyDescent="0.2">
      <c r="A122" s="1278"/>
      <c r="B122" s="1255"/>
      <c r="C122" s="1255"/>
      <c r="D122" s="1255"/>
      <c r="E122" s="1255"/>
      <c r="F122" s="1255"/>
      <c r="G122" s="1255"/>
      <c r="H122" s="1255"/>
      <c r="I122" s="1255"/>
      <c r="J122" s="1255"/>
      <c r="K122" s="1255"/>
      <c r="L122" s="1255"/>
      <c r="M122" s="1255"/>
      <c r="N122" s="1255"/>
      <c r="O122" s="1255"/>
      <c r="P122" s="1255"/>
      <c r="Q122" s="1256"/>
      <c r="R122" s="531" t="s">
        <v>752</v>
      </c>
      <c r="S122" s="380"/>
      <c r="T122" s="389"/>
      <c r="U122" s="380"/>
      <c r="V122" s="380"/>
      <c r="W122" s="380"/>
      <c r="X122" s="380"/>
      <c r="Y122" s="380"/>
      <c r="Z122" s="380"/>
      <c r="AA122" s="198"/>
      <c r="AB122" s="198"/>
      <c r="AC122" s="198"/>
      <c r="AD122" s="198"/>
      <c r="AE122" s="122"/>
      <c r="AF122" s="122"/>
      <c r="AG122" s="122"/>
      <c r="AH122" s="122"/>
      <c r="AI122" s="122"/>
      <c r="AJ122" s="122"/>
      <c r="AK122" s="122"/>
      <c r="AL122" s="124"/>
      <c r="AM122" s="122"/>
      <c r="AN122" s="122"/>
      <c r="AO122" s="122"/>
      <c r="AP122" s="122"/>
      <c r="AQ122" s="122"/>
      <c r="AR122" s="122"/>
      <c r="AS122" s="122"/>
      <c r="AT122" s="122"/>
      <c r="AU122" s="122"/>
      <c r="AV122" s="122"/>
      <c r="AW122" s="122"/>
      <c r="AX122" s="122"/>
      <c r="AY122" s="122"/>
      <c r="AZ122" s="122"/>
    </row>
    <row r="123" spans="1:52" ht="26.25" customHeight="1" x14ac:dyDescent="0.2">
      <c r="A123" s="1279"/>
      <c r="B123" s="1280"/>
      <c r="C123" s="1280"/>
      <c r="D123" s="1280"/>
      <c r="E123" s="1280"/>
      <c r="F123" s="1280"/>
      <c r="G123" s="1280"/>
      <c r="H123" s="1280"/>
      <c r="I123" s="1280"/>
      <c r="J123" s="1280"/>
      <c r="K123" s="1280"/>
      <c r="L123" s="1280"/>
      <c r="M123" s="1280"/>
      <c r="N123" s="1280"/>
      <c r="O123" s="1280"/>
      <c r="P123" s="1280"/>
      <c r="Q123" s="1281"/>
      <c r="R123" s="531" t="s">
        <v>752</v>
      </c>
      <c r="S123" s="380"/>
      <c r="T123" s="389"/>
      <c r="U123" s="380"/>
      <c r="V123" s="380"/>
      <c r="W123" s="380"/>
      <c r="X123" s="380"/>
      <c r="Y123" s="380"/>
      <c r="Z123" s="380"/>
      <c r="AA123" s="198"/>
      <c r="AB123" s="198"/>
      <c r="AC123" s="198"/>
      <c r="AD123" s="198"/>
      <c r="AE123" s="122"/>
      <c r="AF123" s="122"/>
      <c r="AG123" s="122"/>
      <c r="AH123" s="122"/>
      <c r="AI123" s="122"/>
      <c r="AJ123" s="122"/>
      <c r="AK123" s="122"/>
      <c r="AL123" s="124"/>
      <c r="AM123" s="122"/>
      <c r="AN123" s="122"/>
      <c r="AO123" s="122"/>
      <c r="AP123" s="122"/>
      <c r="AQ123" s="122"/>
      <c r="AR123" s="122"/>
      <c r="AS123" s="122"/>
      <c r="AT123" s="122"/>
      <c r="AU123" s="122"/>
      <c r="AV123" s="122"/>
      <c r="AW123" s="122"/>
      <c r="AX123" s="122"/>
      <c r="AY123" s="122"/>
      <c r="AZ123" s="122"/>
    </row>
    <row r="124" spans="1:52" ht="26.25" customHeight="1" x14ac:dyDescent="0.2">
      <c r="A124" s="1282" t="s">
        <v>647</v>
      </c>
      <c r="B124" s="1283"/>
      <c r="C124" s="1283"/>
      <c r="D124" s="1283"/>
      <c r="E124" s="1283"/>
      <c r="F124" s="1283"/>
      <c r="G124" s="1283"/>
      <c r="H124" s="1283"/>
      <c r="I124" s="1283"/>
      <c r="J124" s="1283"/>
      <c r="K124" s="1283"/>
      <c r="L124" s="1283"/>
      <c r="M124" s="1283"/>
      <c r="N124" s="1283"/>
      <c r="O124" s="1283"/>
      <c r="P124" s="1283"/>
      <c r="Q124" s="1284"/>
      <c r="R124" s="531" t="s">
        <v>752</v>
      </c>
      <c r="S124" s="386" t="str">
        <f>IF(ISBLANK(A125),"",A125)</f>
        <v/>
      </c>
      <c r="T124" s="389" t="s">
        <v>584</v>
      </c>
      <c r="U124" s="380"/>
      <c r="V124" s="380"/>
      <c r="W124" s="380"/>
      <c r="X124" s="380"/>
      <c r="Y124" s="380"/>
      <c r="Z124" s="380"/>
      <c r="AA124" s="198"/>
      <c r="AB124" s="198"/>
      <c r="AC124" s="198"/>
      <c r="AD124" s="352"/>
      <c r="AE124" s="122"/>
      <c r="AF124" s="122"/>
      <c r="AG124" s="122"/>
      <c r="AH124" s="122"/>
      <c r="AI124" s="122"/>
      <c r="AJ124" s="122"/>
      <c r="AK124" s="122"/>
      <c r="AL124" s="124"/>
      <c r="AM124" s="122"/>
      <c r="AN124" s="122"/>
      <c r="AO124" s="122"/>
      <c r="AP124" s="122"/>
      <c r="AQ124" s="122"/>
      <c r="AR124" s="122"/>
      <c r="AS124" s="122"/>
      <c r="AT124" s="122"/>
      <c r="AU124" s="122"/>
      <c r="AV124" s="122"/>
      <c r="AW124" s="122"/>
      <c r="AX124" s="122"/>
      <c r="AY124" s="122"/>
      <c r="AZ124" s="122"/>
    </row>
    <row r="125" spans="1:52" ht="26.25" customHeight="1" x14ac:dyDescent="0.25">
      <c r="A125" s="1278"/>
      <c r="B125" s="1255"/>
      <c r="C125" s="1255"/>
      <c r="D125" s="1255"/>
      <c r="E125" s="1255"/>
      <c r="F125" s="1255"/>
      <c r="G125" s="1255"/>
      <c r="H125" s="1255"/>
      <c r="I125" s="1255"/>
      <c r="J125" s="1255"/>
      <c r="K125" s="1255"/>
      <c r="L125" s="1255"/>
      <c r="M125" s="1255"/>
      <c r="N125" s="1255"/>
      <c r="O125" s="1255"/>
      <c r="P125" s="1255"/>
      <c r="Q125" s="1285"/>
      <c r="R125" s="534" t="s">
        <v>752</v>
      </c>
      <c r="U125" s="380"/>
      <c r="V125" s="380"/>
      <c r="W125" s="380"/>
      <c r="X125" s="388"/>
      <c r="Y125" s="388"/>
      <c r="Z125" s="388"/>
      <c r="AA125" s="349"/>
      <c r="AB125" s="349"/>
      <c r="AC125" s="349"/>
      <c r="AD125" s="385"/>
      <c r="AE125" s="122"/>
      <c r="AF125" s="122"/>
      <c r="AG125" s="122"/>
      <c r="AH125" s="122"/>
      <c r="AI125" s="122"/>
      <c r="AJ125" s="122"/>
      <c r="AK125" s="122"/>
      <c r="AL125" s="124"/>
      <c r="AM125" s="122"/>
      <c r="AN125" s="122"/>
      <c r="AO125" s="122"/>
      <c r="AP125" s="122"/>
      <c r="AQ125" s="122"/>
      <c r="AR125" s="122"/>
      <c r="AS125" s="122"/>
      <c r="AT125" s="122"/>
      <c r="AU125" s="122"/>
      <c r="AV125" s="122"/>
      <c r="AW125" s="122"/>
      <c r="AX125" s="122"/>
      <c r="AY125" s="122"/>
      <c r="AZ125" s="122"/>
    </row>
    <row r="126" spans="1:52" ht="26.25" customHeight="1" thickBot="1" x14ac:dyDescent="0.25">
      <c r="A126" s="1257"/>
      <c r="B126" s="1258"/>
      <c r="C126" s="1258"/>
      <c r="D126" s="1258"/>
      <c r="E126" s="1258"/>
      <c r="F126" s="1258"/>
      <c r="G126" s="1258"/>
      <c r="H126" s="1258"/>
      <c r="I126" s="1258"/>
      <c r="J126" s="1258"/>
      <c r="K126" s="1258"/>
      <c r="L126" s="1258"/>
      <c r="M126" s="1258"/>
      <c r="N126" s="1258"/>
      <c r="O126" s="1258"/>
      <c r="P126" s="1258"/>
      <c r="Q126" s="1259"/>
      <c r="R126" s="534" t="s">
        <v>752</v>
      </c>
      <c r="S126" s="380"/>
      <c r="T126" s="380"/>
      <c r="U126" s="380"/>
      <c r="V126" s="380"/>
      <c r="W126" s="380"/>
      <c r="X126" s="378"/>
      <c r="Y126" s="378"/>
      <c r="Z126" s="378"/>
      <c r="AA126" s="380"/>
      <c r="AB126" s="380"/>
      <c r="AC126" s="380"/>
      <c r="AD126" s="198"/>
      <c r="AE126" s="122"/>
      <c r="AF126" s="122"/>
      <c r="AG126" s="122"/>
      <c r="AH126" s="122"/>
      <c r="AI126" s="122"/>
      <c r="AJ126" s="122"/>
      <c r="AK126" s="122"/>
      <c r="AL126" s="124"/>
      <c r="AM126" s="122"/>
      <c r="AN126" s="122"/>
      <c r="AO126" s="122"/>
      <c r="AP126" s="122"/>
      <c r="AQ126" s="122"/>
      <c r="AR126" s="122"/>
      <c r="AS126" s="122"/>
      <c r="AT126" s="122"/>
      <c r="AU126" s="122"/>
      <c r="AV126" s="122"/>
      <c r="AW126" s="122"/>
      <c r="AX126" s="122"/>
      <c r="AY126" s="122"/>
      <c r="AZ126" s="122"/>
    </row>
    <row r="127" spans="1:52" ht="26.25" customHeight="1" x14ac:dyDescent="0.25">
      <c r="A127" s="1251" t="s">
        <v>649</v>
      </c>
      <c r="B127" s="1252"/>
      <c r="C127" s="1252"/>
      <c r="D127" s="1252"/>
      <c r="E127" s="1252"/>
      <c r="F127" s="1252"/>
      <c r="G127" s="1252"/>
      <c r="H127" s="1252"/>
      <c r="I127" s="1252"/>
      <c r="J127" s="1252"/>
      <c r="K127" s="1252"/>
      <c r="L127" s="1252"/>
      <c r="M127" s="1252"/>
      <c r="N127" s="1252"/>
      <c r="O127" s="1252"/>
      <c r="P127" s="1252"/>
      <c r="Q127" s="1253"/>
      <c r="R127" s="531" t="s">
        <v>752</v>
      </c>
      <c r="S127" s="392" t="str">
        <f>IF(ISBLANK(A128),"",A128)</f>
        <v/>
      </c>
      <c r="T127" s="393" t="s">
        <v>650</v>
      </c>
      <c r="W127" s="380"/>
      <c r="X127" s="380"/>
      <c r="Y127" s="380"/>
      <c r="Z127" s="380"/>
      <c r="AA127" s="380"/>
      <c r="AB127" s="380"/>
      <c r="AC127" s="380"/>
      <c r="AD127" s="385"/>
      <c r="AE127" s="122"/>
      <c r="AF127" s="122"/>
      <c r="AG127" s="122"/>
      <c r="AH127" s="122"/>
      <c r="AI127" s="122"/>
      <c r="AJ127" s="122"/>
      <c r="AK127" s="122"/>
      <c r="AL127" s="124"/>
      <c r="AM127" s="122"/>
      <c r="AN127" s="122"/>
      <c r="AO127" s="122"/>
      <c r="AP127" s="122"/>
      <c r="AQ127" s="122"/>
      <c r="AR127" s="122"/>
      <c r="AS127" s="122"/>
      <c r="AT127" s="122"/>
      <c r="AU127" s="122"/>
      <c r="AV127" s="122"/>
      <c r="AW127" s="122"/>
      <c r="AX127" s="122"/>
      <c r="AY127" s="122"/>
      <c r="AZ127" s="122"/>
    </row>
    <row r="128" spans="1:52" ht="26.25" customHeight="1" x14ac:dyDescent="0.25">
      <c r="A128" s="1278"/>
      <c r="B128" s="1255"/>
      <c r="C128" s="1255"/>
      <c r="D128" s="1255"/>
      <c r="E128" s="1255"/>
      <c r="F128" s="1255"/>
      <c r="G128" s="1255"/>
      <c r="H128" s="1255"/>
      <c r="I128" s="1255"/>
      <c r="J128" s="1255"/>
      <c r="K128" s="1255"/>
      <c r="L128" s="1255"/>
      <c r="M128" s="1255"/>
      <c r="N128" s="1255"/>
      <c r="O128" s="1255"/>
      <c r="P128" s="1255"/>
      <c r="Q128" s="1256"/>
      <c r="R128" s="531" t="s">
        <v>752</v>
      </c>
      <c r="W128" s="380"/>
      <c r="X128" s="380"/>
      <c r="Y128" s="380"/>
      <c r="Z128" s="380"/>
      <c r="AA128" s="380"/>
      <c r="AB128" s="380"/>
      <c r="AC128" s="380"/>
      <c r="AD128" s="385"/>
      <c r="AE128" s="122"/>
      <c r="AF128" s="122"/>
      <c r="AG128" s="122"/>
      <c r="AH128" s="122"/>
      <c r="AI128" s="122"/>
      <c r="AJ128" s="122"/>
      <c r="AK128" s="122"/>
      <c r="AL128" s="124"/>
      <c r="AM128" s="122"/>
      <c r="AN128" s="122"/>
      <c r="AO128" s="122"/>
      <c r="AP128" s="122"/>
      <c r="AQ128" s="122"/>
      <c r="AR128" s="122"/>
      <c r="AS128" s="122"/>
      <c r="AT128" s="122"/>
      <c r="AU128" s="122"/>
      <c r="AV128" s="122"/>
      <c r="AW128" s="122"/>
      <c r="AX128" s="122"/>
      <c r="AY128" s="122"/>
      <c r="AZ128" s="122"/>
    </row>
    <row r="129" spans="1:52" ht="26.25" customHeight="1" thickBot="1" x14ac:dyDescent="0.3">
      <c r="A129" s="1257"/>
      <c r="B129" s="1258"/>
      <c r="C129" s="1258"/>
      <c r="D129" s="1258"/>
      <c r="E129" s="1258"/>
      <c r="F129" s="1258"/>
      <c r="G129" s="1258"/>
      <c r="H129" s="1258"/>
      <c r="I129" s="1258"/>
      <c r="J129" s="1258"/>
      <c r="K129" s="1258"/>
      <c r="L129" s="1258"/>
      <c r="M129" s="1258"/>
      <c r="N129" s="1258"/>
      <c r="O129" s="1258"/>
      <c r="P129" s="1258"/>
      <c r="Q129" s="1259"/>
      <c r="R129" s="531" t="s">
        <v>752</v>
      </c>
      <c r="S129" s="352"/>
      <c r="T129" s="352"/>
      <c r="U129" s="352"/>
      <c r="V129" s="352"/>
      <c r="W129" s="388"/>
      <c r="X129" s="380"/>
      <c r="Y129" s="380"/>
      <c r="Z129" s="380"/>
      <c r="AA129" s="380"/>
      <c r="AB129" s="380"/>
      <c r="AC129" s="380"/>
      <c r="AD129" s="385"/>
      <c r="AE129" s="122"/>
      <c r="AF129" s="122"/>
      <c r="AG129" s="122"/>
      <c r="AH129" s="122"/>
      <c r="AI129" s="122"/>
      <c r="AJ129" s="122"/>
      <c r="AK129" s="122"/>
      <c r="AL129" s="122"/>
      <c r="AM129" s="122"/>
      <c r="AN129" s="122"/>
      <c r="AO129" s="122"/>
      <c r="AP129" s="122"/>
      <c r="AQ129" s="122"/>
      <c r="AR129" s="122"/>
      <c r="AS129" s="122"/>
      <c r="AT129" s="122"/>
      <c r="AU129" s="122"/>
      <c r="AV129" s="122"/>
      <c r="AW129" s="122"/>
      <c r="AX129" s="122"/>
      <c r="AY129" s="122"/>
      <c r="AZ129" s="122"/>
    </row>
    <row r="130" spans="1:52" ht="26.25" customHeight="1" x14ac:dyDescent="0.25">
      <c r="A130" s="1260" t="s">
        <v>651</v>
      </c>
      <c r="B130" s="1261"/>
      <c r="C130" s="1261"/>
      <c r="D130" s="1261"/>
      <c r="E130" s="1261"/>
      <c r="F130" s="1261"/>
      <c r="G130" s="1261"/>
      <c r="H130" s="1261"/>
      <c r="I130" s="1261"/>
      <c r="J130" s="1261"/>
      <c r="K130" s="1261"/>
      <c r="L130" s="1261"/>
      <c r="M130" s="1261"/>
      <c r="N130" s="1261"/>
      <c r="O130" s="1261"/>
      <c r="P130" s="1261"/>
      <c r="Q130" s="1262"/>
      <c r="R130" s="531" t="s">
        <v>752</v>
      </c>
      <c r="S130" s="395"/>
      <c r="T130" s="396"/>
      <c r="U130" s="390"/>
      <c r="V130" s="390"/>
      <c r="W130" s="378"/>
      <c r="X130" s="380"/>
      <c r="Y130" s="380"/>
      <c r="Z130" s="380"/>
      <c r="AA130" s="380"/>
      <c r="AB130" s="380"/>
      <c r="AC130" s="380"/>
      <c r="AD130" s="385"/>
      <c r="AE130" s="122"/>
      <c r="AF130" s="122"/>
      <c r="AG130" s="122"/>
      <c r="AH130" s="122"/>
      <c r="AI130" s="122"/>
      <c r="AJ130" s="122"/>
      <c r="AK130" s="122"/>
      <c r="AL130" s="122"/>
      <c r="AM130" s="122"/>
      <c r="AN130" s="122"/>
      <c r="AO130" s="122"/>
      <c r="AP130" s="122"/>
      <c r="AQ130" s="122"/>
      <c r="AR130" s="122"/>
      <c r="AS130" s="122"/>
      <c r="AT130" s="122"/>
      <c r="AU130" s="122"/>
      <c r="AV130" s="122"/>
      <c r="AW130" s="122"/>
      <c r="AX130" s="122"/>
      <c r="AY130" s="122"/>
      <c r="AZ130" s="122"/>
    </row>
    <row r="131" spans="1:52" ht="26.25" customHeight="1" x14ac:dyDescent="0.25">
      <c r="A131" s="1263"/>
      <c r="B131" s="1264"/>
      <c r="C131" s="1264"/>
      <c r="D131" s="1264"/>
      <c r="E131" s="1264"/>
      <c r="F131" s="1264"/>
      <c r="G131" s="1264"/>
      <c r="H131" s="1264"/>
      <c r="I131" s="1264"/>
      <c r="J131" s="1264"/>
      <c r="K131" s="1264"/>
      <c r="L131" s="1264"/>
      <c r="M131" s="1264"/>
      <c r="N131" s="1264"/>
      <c r="O131" s="1264"/>
      <c r="P131" s="1264"/>
      <c r="Q131" s="1265"/>
      <c r="R131" s="531" t="s">
        <v>752</v>
      </c>
      <c r="S131" s="397" t="str">
        <f>IF(ISBLANK(A131),"",CONCATENATE(S130,A131))</f>
        <v/>
      </c>
      <c r="T131" s="354" t="s">
        <v>195</v>
      </c>
      <c r="U131" s="183"/>
      <c r="V131" s="183"/>
      <c r="W131" s="380"/>
      <c r="X131" s="380"/>
      <c r="Y131" s="380"/>
      <c r="Z131" s="380"/>
      <c r="AA131" s="380"/>
      <c r="AB131" s="380"/>
      <c r="AC131" s="380"/>
      <c r="AD131" s="385"/>
      <c r="AE131" s="122"/>
      <c r="AF131" s="122"/>
      <c r="AG131" s="122"/>
      <c r="AH131" s="122"/>
      <c r="AI131" s="122"/>
      <c r="AJ131" s="122"/>
      <c r="AK131" s="122"/>
      <c r="AL131" s="122"/>
      <c r="AM131" s="122"/>
      <c r="AN131" s="122"/>
      <c r="AO131" s="122"/>
      <c r="AP131" s="122"/>
      <c r="AQ131" s="122"/>
      <c r="AR131" s="122"/>
      <c r="AS131" s="122"/>
      <c r="AT131" s="122"/>
      <c r="AU131" s="122"/>
      <c r="AV131" s="122"/>
      <c r="AW131" s="122"/>
      <c r="AX131" s="122"/>
      <c r="AY131" s="122"/>
      <c r="AZ131" s="122"/>
    </row>
    <row r="132" spans="1:52" ht="26.25" customHeight="1" thickBot="1" x14ac:dyDescent="0.3">
      <c r="A132" s="1266"/>
      <c r="B132" s="1267"/>
      <c r="C132" s="1267"/>
      <c r="D132" s="1267"/>
      <c r="E132" s="1267"/>
      <c r="F132" s="1267"/>
      <c r="G132" s="1267"/>
      <c r="H132" s="1267"/>
      <c r="I132" s="1267"/>
      <c r="J132" s="1267"/>
      <c r="K132" s="1267"/>
      <c r="L132" s="1267"/>
      <c r="M132" s="1267"/>
      <c r="N132" s="1267"/>
      <c r="O132" s="1267"/>
      <c r="P132" s="1267"/>
      <c r="Q132" s="1268"/>
      <c r="R132" s="531" t="s">
        <v>752</v>
      </c>
      <c r="S132" s="198"/>
      <c r="T132" s="198"/>
      <c r="U132" s="198"/>
      <c r="V132" s="198"/>
      <c r="W132" s="380"/>
      <c r="X132" s="380"/>
      <c r="Y132" s="380"/>
      <c r="Z132" s="380"/>
      <c r="AA132" s="380"/>
      <c r="AB132" s="380"/>
      <c r="AC132" s="380"/>
      <c r="AD132" s="385"/>
      <c r="AE132" s="122"/>
      <c r="AF132" s="122"/>
      <c r="AG132" s="122"/>
      <c r="AH132" s="122"/>
      <c r="AI132" s="122"/>
      <c r="AJ132" s="122"/>
      <c r="AK132" s="122"/>
      <c r="AL132" s="122"/>
      <c r="AM132" s="122"/>
      <c r="AN132" s="122"/>
      <c r="AO132" s="122"/>
      <c r="AP132" s="122"/>
      <c r="AQ132" s="122"/>
      <c r="AR132" s="122"/>
      <c r="AS132" s="122"/>
      <c r="AT132" s="122"/>
      <c r="AU132" s="122"/>
      <c r="AV132" s="122"/>
      <c r="AW132" s="122"/>
      <c r="AX132" s="122"/>
      <c r="AY132" s="122"/>
      <c r="AZ132" s="122"/>
    </row>
    <row r="133" spans="1:52" ht="26.45" customHeight="1" thickBot="1" x14ac:dyDescent="0.3">
      <c r="A133" s="1369" t="e">
        <f>$A$1</f>
        <v>#N/A</v>
      </c>
      <c r="B133" s="1369"/>
      <c r="C133" s="1369"/>
      <c r="D133" s="1369"/>
      <c r="E133" s="1369"/>
      <c r="F133" s="1369"/>
      <c r="G133" s="1369"/>
      <c r="H133" s="1369"/>
      <c r="I133" s="1369"/>
      <c r="J133" s="1369"/>
      <c r="K133" s="1369"/>
      <c r="L133" s="1369"/>
      <c r="M133" s="1369"/>
      <c r="N133" s="1369"/>
      <c r="O133" s="1369"/>
      <c r="P133" s="1369"/>
      <c r="Q133" s="1369"/>
      <c r="R133" s="531" t="s">
        <v>752</v>
      </c>
      <c r="S133" s="388"/>
      <c r="T133" s="388"/>
      <c r="U133" s="388"/>
      <c r="V133" s="388"/>
      <c r="W133" s="380"/>
      <c r="X133" s="380"/>
      <c r="Y133" s="380"/>
      <c r="Z133" s="380"/>
      <c r="AA133" s="380"/>
      <c r="AB133" s="380"/>
      <c r="AC133" s="380"/>
      <c r="AD133" s="385"/>
      <c r="AE133" s="122"/>
      <c r="AF133" s="122"/>
      <c r="AG133" s="122"/>
      <c r="AH133" s="122"/>
      <c r="AI133" s="122"/>
      <c r="AJ133" s="122"/>
      <c r="AK133" s="122"/>
      <c r="AL133" s="122"/>
      <c r="AM133" s="122"/>
      <c r="AN133" s="122"/>
      <c r="AO133" s="122"/>
      <c r="AP133" s="122"/>
      <c r="AQ133" s="122"/>
      <c r="AR133" s="122"/>
      <c r="AS133" s="122"/>
      <c r="AT133" s="122"/>
      <c r="AU133" s="122"/>
      <c r="AV133" s="122"/>
      <c r="AW133" s="122"/>
      <c r="AX133" s="122"/>
      <c r="AY133" s="122"/>
      <c r="AZ133" s="122"/>
    </row>
    <row r="134" spans="1:52" ht="26.25" customHeight="1" thickBot="1" x14ac:dyDescent="0.3">
      <c r="A134" s="1364" t="s">
        <v>86</v>
      </c>
      <c r="B134" s="1365"/>
      <c r="C134" s="1365"/>
      <c r="D134" s="1365"/>
      <c r="E134" s="1365"/>
      <c r="F134" s="1365"/>
      <c r="G134" s="1365"/>
      <c r="H134" s="1365"/>
      <c r="I134" s="1365"/>
      <c r="J134" s="1365"/>
      <c r="K134" s="1365"/>
      <c r="L134" s="1365"/>
      <c r="M134" s="1365"/>
      <c r="N134" s="1366" t="str">
        <f>$N$5</f>
        <v>2024 Report Year</v>
      </c>
      <c r="O134" s="1367"/>
      <c r="P134" s="1367"/>
      <c r="Q134" s="1368"/>
      <c r="R134" s="534" t="s">
        <v>752</v>
      </c>
      <c r="S134" s="394"/>
      <c r="T134" s="394"/>
      <c r="U134" s="394"/>
      <c r="V134" s="394"/>
      <c r="W134" s="380"/>
      <c r="X134" s="380"/>
      <c r="Y134" s="380"/>
      <c r="Z134" s="380"/>
      <c r="AA134" s="380"/>
      <c r="AB134" s="380"/>
      <c r="AC134" s="380"/>
      <c r="AD134" s="385"/>
      <c r="AE134" s="122"/>
      <c r="AF134" s="122"/>
      <c r="AG134" s="122"/>
      <c r="AH134" s="122"/>
      <c r="AI134" s="122"/>
      <c r="AJ134" s="122"/>
      <c r="AK134" s="122"/>
      <c r="AL134" s="122"/>
      <c r="AM134" s="122"/>
      <c r="AN134" s="122"/>
      <c r="AO134" s="122"/>
      <c r="AP134" s="122"/>
      <c r="AQ134" s="122"/>
      <c r="AR134" s="122"/>
      <c r="AS134" s="122"/>
      <c r="AT134" s="122"/>
      <c r="AU134" s="122"/>
      <c r="AV134" s="122"/>
      <c r="AW134" s="122"/>
      <c r="AX134" s="122"/>
      <c r="AY134" s="122"/>
      <c r="AZ134" s="122"/>
    </row>
    <row r="135" spans="1:52" ht="26.25" customHeight="1" x14ac:dyDescent="0.25">
      <c r="A135" s="1351" t="str">
        <f>IF(AND(OR(ISNA(cap_exp_contact),TRIM(cap_exp_contact)=""),NOT(ISBLANK(code_7594))),"The Capital Expenditure Contact information has NOT been provided.  Please complete this information now.","")</f>
        <v/>
      </c>
      <c r="B135" s="1352"/>
      <c r="C135" s="1352"/>
      <c r="D135" s="1352"/>
      <c r="E135" s="1352"/>
      <c r="F135" s="1352"/>
      <c r="G135" s="1352"/>
      <c r="H135" s="1352"/>
      <c r="I135" s="1352"/>
      <c r="J135" s="1352"/>
      <c r="K135" s="1352"/>
      <c r="L135" s="1352"/>
      <c r="M135" s="1352"/>
      <c r="N135" s="343" t="s">
        <v>602</v>
      </c>
      <c r="O135" s="344" t="e">
        <f>$O$6</f>
        <v>#N/A</v>
      </c>
      <c r="P135" s="345" t="s">
        <v>603</v>
      </c>
      <c r="Q135" s="346" t="e">
        <f>IF(ISBLANK(Q92),"",Q92+1)</f>
        <v>#VALUE!</v>
      </c>
      <c r="R135" s="534" t="s">
        <v>752</v>
      </c>
      <c r="S135" s="198"/>
      <c r="T135" s="198"/>
      <c r="U135" s="198"/>
      <c r="V135" s="198"/>
      <c r="W135" s="380"/>
      <c r="X135" s="380"/>
      <c r="Y135" s="380"/>
      <c r="Z135" s="380"/>
      <c r="AA135" s="198"/>
      <c r="AB135" s="198"/>
      <c r="AC135" s="198"/>
      <c r="AD135" s="385"/>
      <c r="AE135" s="122"/>
      <c r="AF135" s="122"/>
      <c r="AG135" s="122"/>
      <c r="AH135" s="122"/>
      <c r="AI135" s="122"/>
      <c r="AJ135" s="122"/>
      <c r="AK135" s="122"/>
      <c r="AL135" s="122"/>
      <c r="AM135" s="122"/>
      <c r="AN135" s="122"/>
      <c r="AO135" s="122"/>
      <c r="AP135" s="122"/>
      <c r="AQ135" s="122"/>
      <c r="AR135" s="122"/>
      <c r="AS135" s="122"/>
      <c r="AT135" s="122"/>
      <c r="AU135" s="122"/>
      <c r="AV135" s="122"/>
      <c r="AW135" s="122"/>
      <c r="AX135" s="122"/>
      <c r="AY135" s="122"/>
      <c r="AZ135" s="122"/>
    </row>
    <row r="136" spans="1:52" ht="26.25" customHeight="1" thickBot="1" x14ac:dyDescent="0.3">
      <c r="A136" s="1353" t="s">
        <v>197</v>
      </c>
      <c r="B136" s="1354"/>
      <c r="C136" s="1354"/>
      <c r="D136" s="1354"/>
      <c r="E136" s="1355"/>
      <c r="F136" s="1356"/>
      <c r="G136" s="1356"/>
      <c r="H136" s="1356"/>
      <c r="I136" s="1356"/>
      <c r="J136" s="1356"/>
      <c r="K136" s="1356"/>
      <c r="L136" s="1357"/>
      <c r="M136" s="550" t="s">
        <v>752</v>
      </c>
      <c r="N136" s="1358" t="s">
        <v>604</v>
      </c>
      <c r="O136" s="1359"/>
      <c r="P136" s="1359"/>
      <c r="Q136" s="1360"/>
      <c r="R136" s="531" t="s">
        <v>752</v>
      </c>
      <c r="S136" s="348" t="str">
        <f>IF(ISBLANK(E136),"",E136)</f>
        <v/>
      </c>
      <c r="T136" s="143" t="s">
        <v>495</v>
      </c>
      <c r="U136" s="280"/>
      <c r="V136" s="280"/>
      <c r="W136" s="380"/>
      <c r="X136" s="198"/>
      <c r="Y136" s="198"/>
      <c r="Z136" s="198"/>
      <c r="AA136" s="378"/>
      <c r="AB136" s="378"/>
      <c r="AC136" s="378"/>
      <c r="AD136" s="385"/>
      <c r="AE136" s="122"/>
      <c r="AF136" s="122"/>
      <c r="AG136" s="122"/>
      <c r="AH136" s="122"/>
      <c r="AI136" s="122"/>
      <c r="AJ136" s="122"/>
      <c r="AK136" s="122"/>
      <c r="AL136" s="122"/>
      <c r="AM136" s="122"/>
      <c r="AN136" s="122"/>
      <c r="AO136" s="122"/>
      <c r="AP136" s="122"/>
      <c r="AQ136" s="122"/>
      <c r="AR136" s="122"/>
      <c r="AS136" s="122"/>
      <c r="AT136" s="122"/>
      <c r="AU136" s="122"/>
      <c r="AV136" s="122"/>
      <c r="AW136" s="122"/>
      <c r="AX136" s="122"/>
      <c r="AY136" s="122"/>
      <c r="AZ136" s="122"/>
    </row>
    <row r="137" spans="1:52" ht="26.25" customHeight="1" x14ac:dyDescent="0.2">
      <c r="A137" s="1361" t="s">
        <v>605</v>
      </c>
      <c r="B137" s="1362"/>
      <c r="C137" s="1362"/>
      <c r="D137" s="1363"/>
      <c r="E137" s="1339"/>
      <c r="F137" s="1340"/>
      <c r="G137" s="1340"/>
      <c r="H137" s="1340"/>
      <c r="I137" s="1340"/>
      <c r="J137" s="1340"/>
      <c r="K137" s="1340"/>
      <c r="L137" s="1341"/>
      <c r="M137" s="1342" t="str">
        <f>IF(AND(ISBLANK(E137),OR(NOT(ISBLANK(E138)),NOT(ISBLANK(E139)),NOT(ISBLANK(E140)),NOT(ISBLANK(I141)),NOT(ISBLANK(A143)))),"This information is required.","")</f>
        <v/>
      </c>
      <c r="N137" s="1343"/>
      <c r="O137" s="1343"/>
      <c r="P137" s="1343"/>
      <c r="Q137" s="551" t="s">
        <v>752</v>
      </c>
      <c r="R137" s="531" t="s">
        <v>752</v>
      </c>
      <c r="S137" s="348" t="str">
        <f>IF(ISBLANK(E137),"",E137)</f>
        <v/>
      </c>
      <c r="T137" s="143" t="s">
        <v>185</v>
      </c>
      <c r="U137" s="280"/>
      <c r="V137" s="280"/>
      <c r="W137" s="380"/>
      <c r="X137" s="382"/>
      <c r="Y137" s="382"/>
      <c r="Z137" s="382"/>
      <c r="AA137" s="380"/>
      <c r="AB137" s="380"/>
      <c r="AC137" s="380"/>
      <c r="AD137" s="198"/>
      <c r="AE137" s="122"/>
      <c r="AF137" s="122"/>
      <c r="AG137" s="122"/>
      <c r="AH137" s="122"/>
      <c r="AI137" s="122"/>
      <c r="AJ137" s="122"/>
      <c r="AK137" s="122"/>
      <c r="AL137" s="122"/>
      <c r="AM137" s="122"/>
      <c r="AN137" s="122"/>
      <c r="AO137" s="122"/>
      <c r="AP137" s="122"/>
      <c r="AQ137" s="122"/>
      <c r="AR137" s="122"/>
      <c r="AS137" s="122"/>
      <c r="AT137" s="122"/>
      <c r="AU137" s="122"/>
      <c r="AV137" s="122"/>
      <c r="AW137" s="122"/>
      <c r="AX137" s="122"/>
      <c r="AY137" s="122"/>
      <c r="AZ137" s="122"/>
    </row>
    <row r="138" spans="1:52" ht="26.25" customHeight="1" x14ac:dyDescent="0.25">
      <c r="A138" s="1325" t="s">
        <v>606</v>
      </c>
      <c r="B138" s="1326"/>
      <c r="C138" s="1326"/>
      <c r="D138" s="1327"/>
      <c r="E138" s="1339"/>
      <c r="F138" s="1340"/>
      <c r="G138" s="1340"/>
      <c r="H138" s="1340"/>
      <c r="I138" s="1340"/>
      <c r="J138" s="1340"/>
      <c r="K138" s="1340"/>
      <c r="L138" s="1341"/>
      <c r="M138" s="1342" t="str">
        <f>IF(AND(ISBLANK(E138),OR(NOT(ISBLANK(E137)),NOT(ISBLANK(E139)),NOT(ISBLANK(E140)),NOT(ISBLANK(I141)),NOT(ISBLANK(A143)))),"This information is required.","")</f>
        <v/>
      </c>
      <c r="N138" s="1343"/>
      <c r="O138" s="1343"/>
      <c r="P138" s="1343"/>
      <c r="Q138" s="551" t="s">
        <v>752</v>
      </c>
      <c r="R138" s="531" t="s">
        <v>752</v>
      </c>
      <c r="S138" s="348" t="str">
        <f>IF(ISBLANK(E138),"",E138)</f>
        <v/>
      </c>
      <c r="T138" s="143" t="s">
        <v>186</v>
      </c>
      <c r="U138" s="280"/>
      <c r="V138" s="280"/>
      <c r="W138" s="380"/>
      <c r="X138" s="380"/>
      <c r="Y138" s="380"/>
      <c r="Z138" s="380"/>
      <c r="AA138" s="380"/>
      <c r="AB138" s="380"/>
      <c r="AC138" s="380"/>
      <c r="AD138" s="385"/>
      <c r="AE138" s="122"/>
      <c r="AF138" s="122"/>
      <c r="AG138" s="122"/>
      <c r="AH138" s="122"/>
      <c r="AI138" s="122"/>
      <c r="AJ138" s="122"/>
      <c r="AK138" s="122"/>
      <c r="AL138" s="122"/>
      <c r="AM138" s="122"/>
      <c r="AN138" s="122"/>
      <c r="AO138" s="122"/>
      <c r="AP138" s="122"/>
      <c r="AQ138" s="122"/>
      <c r="AR138" s="122"/>
      <c r="AS138" s="122"/>
      <c r="AT138" s="122"/>
      <c r="AU138" s="122"/>
      <c r="AV138" s="122"/>
      <c r="AW138" s="122"/>
      <c r="AX138" s="122"/>
      <c r="AY138" s="122"/>
      <c r="AZ138" s="122"/>
    </row>
    <row r="139" spans="1:52" ht="26.25" customHeight="1" x14ac:dyDescent="0.25">
      <c r="A139" s="1344" t="s">
        <v>607</v>
      </c>
      <c r="B139" s="1345"/>
      <c r="C139" s="1345"/>
      <c r="D139" s="1346"/>
      <c r="E139" s="1347"/>
      <c r="F139" s="1348"/>
      <c r="G139" s="1349" t="s">
        <v>608</v>
      </c>
      <c r="H139" s="1349"/>
      <c r="I139" s="1349"/>
      <c r="J139" s="1349"/>
      <c r="K139" s="1349"/>
      <c r="L139" s="1349"/>
      <c r="M139" s="1350" t="str">
        <f>IF(AND(ISBLANK(E139),OR(NOT(ISBLANK(E137)),NOT(ISBLANK(E138)),NOT(ISBLANK(E140)),NOT(ISBLANK(I141)),NOT(ISBLANK(A143)))),"This information is required.","")</f>
        <v/>
      </c>
      <c r="N139" s="1202"/>
      <c r="O139" s="1202"/>
      <c r="P139" s="1202"/>
      <c r="Q139" s="532" t="s">
        <v>752</v>
      </c>
      <c r="R139" s="531" t="s">
        <v>752</v>
      </c>
      <c r="S139" s="350" t="str">
        <f>IF(ISBLANK(E139),"",E139)</f>
        <v/>
      </c>
      <c r="T139" s="351" t="s">
        <v>188</v>
      </c>
      <c r="U139" s="349"/>
      <c r="V139" s="349"/>
      <c r="W139" s="380"/>
      <c r="X139" s="380"/>
      <c r="Y139" s="380"/>
      <c r="Z139" s="380"/>
      <c r="AA139" s="380"/>
      <c r="AB139" s="380"/>
      <c r="AC139" s="380"/>
      <c r="AD139" s="385"/>
      <c r="AE139" s="122"/>
      <c r="AF139" s="122"/>
      <c r="AG139" s="122"/>
      <c r="AH139" s="122"/>
      <c r="AI139" s="122"/>
      <c r="AJ139" s="122"/>
      <c r="AK139" s="122"/>
      <c r="AL139" s="122"/>
      <c r="AM139" s="122"/>
      <c r="AN139" s="122"/>
      <c r="AO139" s="122"/>
      <c r="AP139" s="122"/>
      <c r="AQ139" s="122"/>
      <c r="AR139" s="122"/>
      <c r="AS139" s="122"/>
      <c r="AT139" s="122"/>
      <c r="AU139" s="122"/>
      <c r="AV139" s="122"/>
      <c r="AW139" s="122"/>
      <c r="AX139" s="122"/>
      <c r="AY139" s="122"/>
      <c r="AZ139" s="122"/>
    </row>
    <row r="140" spans="1:52" ht="26.25" customHeight="1" x14ac:dyDescent="0.25">
      <c r="A140" s="1325" t="s">
        <v>609</v>
      </c>
      <c r="B140" s="1326"/>
      <c r="C140" s="1326"/>
      <c r="D140" s="1327"/>
      <c r="E140" s="1328"/>
      <c r="F140" s="1329"/>
      <c r="G140" s="1337" t="s">
        <v>752</v>
      </c>
      <c r="H140" s="1338"/>
      <c r="I140" s="1338"/>
      <c r="J140" s="1338"/>
      <c r="K140" s="1338"/>
      <c r="L140" s="1338"/>
      <c r="M140" s="1202" t="str">
        <f>IF(AND(ISBLANK(E140),OR(NOT(ISBLANK(E137)),NOT(ISBLANK(E138)),NOT(ISBLANK(E139)),NOT(ISBLANK(I141)),NOT(ISBLANK(A143)))),"This information is required.","")</f>
        <v/>
      </c>
      <c r="N140" s="1202"/>
      <c r="O140" s="1202"/>
      <c r="P140" s="1202"/>
      <c r="Q140" s="532" t="s">
        <v>752</v>
      </c>
      <c r="R140" s="531" t="s">
        <v>752</v>
      </c>
      <c r="S140" s="353" t="str">
        <f>IF(ISBLANK(E140),"",E140)</f>
        <v/>
      </c>
      <c r="T140" s="354" t="s">
        <v>189</v>
      </c>
      <c r="U140" s="318"/>
      <c r="V140" s="318"/>
      <c r="W140" s="198"/>
      <c r="X140" s="380"/>
      <c r="Y140" s="380"/>
      <c r="Z140" s="380"/>
      <c r="AA140" s="380"/>
      <c r="AB140" s="380"/>
      <c r="AC140" s="380"/>
      <c r="AD140" s="385"/>
      <c r="AE140" s="122"/>
      <c r="AF140" s="122"/>
      <c r="AG140" s="122"/>
      <c r="AH140" s="122"/>
      <c r="AI140" s="122"/>
      <c r="AJ140" s="122"/>
      <c r="AK140" s="122"/>
      <c r="AL140" s="122"/>
      <c r="AM140" s="122"/>
      <c r="AN140" s="122"/>
      <c r="AO140" s="122"/>
      <c r="AP140" s="122"/>
      <c r="AQ140" s="122"/>
      <c r="AR140" s="122"/>
      <c r="AS140" s="122"/>
      <c r="AT140" s="122"/>
      <c r="AU140" s="122"/>
      <c r="AV140" s="122"/>
      <c r="AW140" s="122"/>
      <c r="AX140" s="122"/>
      <c r="AY140" s="122"/>
      <c r="AZ140" s="122"/>
    </row>
    <row r="141" spans="1:52" ht="26.25" customHeight="1" thickBot="1" x14ac:dyDescent="0.3">
      <c r="A141" s="1330" t="s">
        <v>610</v>
      </c>
      <c r="B141" s="1331"/>
      <c r="C141" s="1331"/>
      <c r="D141" s="1331"/>
      <c r="E141" s="1332"/>
      <c r="F141" s="1332"/>
      <c r="G141" s="1332"/>
      <c r="H141" s="1332"/>
      <c r="I141" s="1333"/>
      <c r="J141" s="1333"/>
      <c r="K141" s="1334" t="s">
        <v>611</v>
      </c>
      <c r="L141" s="1335"/>
      <c r="M141" s="1336" t="str">
        <f>IF(AND(ISBLANK(I141),OR(NOT(ISBLANK(E137)),NOT(ISBLANK(E138)),NOT(ISBLANK(E139)),NOT(ISBLANK(E140)),NOT(ISBLANK(A143)))),"This information is required!","")</f>
        <v/>
      </c>
      <c r="N141" s="1336"/>
      <c r="O141" s="1336"/>
      <c r="P141" s="1336"/>
      <c r="Q141" s="553" t="s">
        <v>752</v>
      </c>
      <c r="R141" s="531" t="s">
        <v>752</v>
      </c>
      <c r="S141" s="353" t="str">
        <f>IF(ISBLANK(I141),"",I141)</f>
        <v/>
      </c>
      <c r="T141" s="354" t="s">
        <v>190</v>
      </c>
      <c r="U141" s="355"/>
      <c r="V141" s="355"/>
      <c r="W141" s="382"/>
      <c r="X141" s="380"/>
      <c r="Y141" s="380"/>
      <c r="Z141" s="380"/>
      <c r="AA141" s="380"/>
      <c r="AB141" s="380"/>
      <c r="AC141" s="380"/>
      <c r="AD141" s="385"/>
      <c r="AE141" s="122"/>
      <c r="AF141" s="122"/>
      <c r="AG141" s="122"/>
      <c r="AH141" s="122"/>
      <c r="AI141" s="122"/>
      <c r="AJ141" s="122"/>
      <c r="AK141" s="122"/>
      <c r="AL141" s="122"/>
      <c r="AM141" s="122"/>
      <c r="AN141" s="122"/>
      <c r="AO141" s="122"/>
      <c r="AP141" s="122"/>
      <c r="AQ141" s="122"/>
      <c r="AR141" s="122"/>
      <c r="AS141" s="122"/>
      <c r="AT141" s="122"/>
      <c r="AU141" s="122"/>
      <c r="AV141" s="122"/>
      <c r="AW141" s="122"/>
      <c r="AX141" s="122"/>
      <c r="AY141" s="122"/>
      <c r="AZ141" s="122"/>
    </row>
    <row r="142" spans="1:52" ht="26.25" customHeight="1" x14ac:dyDescent="0.25">
      <c r="A142" s="1251" t="s">
        <v>613</v>
      </c>
      <c r="B142" s="1252"/>
      <c r="C142" s="1252"/>
      <c r="D142" s="1252"/>
      <c r="E142" s="1252"/>
      <c r="F142" s="1252"/>
      <c r="G142" s="1252"/>
      <c r="H142" s="1252"/>
      <c r="I142" s="1252"/>
      <c r="J142" s="1317"/>
      <c r="K142" s="1318" t="s">
        <v>679</v>
      </c>
      <c r="L142" s="1318"/>
      <c r="M142" s="1318"/>
      <c r="N142" s="1318"/>
      <c r="O142" s="1320" t="s">
        <v>614</v>
      </c>
      <c r="P142" s="1320"/>
      <c r="Q142" s="1321"/>
      <c r="R142" s="531" t="s">
        <v>752</v>
      </c>
      <c r="S142" s="353" t="str">
        <f>IF(ISBLANK(A143),"",A143)</f>
        <v/>
      </c>
      <c r="T142" s="354" t="s">
        <v>191</v>
      </c>
      <c r="U142" s="357"/>
      <c r="V142" s="357"/>
      <c r="W142" s="380"/>
      <c r="X142" s="380"/>
      <c r="Y142" s="380"/>
      <c r="Z142" s="380"/>
      <c r="AA142" s="380"/>
      <c r="AB142" s="380"/>
      <c r="AC142" s="380"/>
      <c r="AD142" s="385"/>
      <c r="AE142" s="122"/>
      <c r="AF142" s="122"/>
      <c r="AG142" s="122"/>
      <c r="AH142" s="122"/>
      <c r="AI142" s="122"/>
      <c r="AJ142" s="122"/>
      <c r="AK142" s="122"/>
      <c r="AL142" s="122"/>
      <c r="AM142" s="122"/>
      <c r="AN142" s="122"/>
      <c r="AO142" s="122"/>
      <c r="AP142" s="122"/>
      <c r="AQ142" s="122"/>
      <c r="AR142" s="122"/>
      <c r="AS142" s="122"/>
      <c r="AT142" s="122"/>
      <c r="AU142" s="122"/>
      <c r="AV142" s="122"/>
      <c r="AW142" s="122"/>
      <c r="AX142" s="122"/>
      <c r="AY142" s="122"/>
      <c r="AZ142" s="122"/>
    </row>
    <row r="143" spans="1:52" ht="26.25" customHeight="1" x14ac:dyDescent="0.25">
      <c r="A143" s="1263"/>
      <c r="B143" s="1264"/>
      <c r="C143" s="1264"/>
      <c r="D143" s="1264"/>
      <c r="E143" s="1264"/>
      <c r="F143" s="1264"/>
      <c r="G143" s="1264"/>
      <c r="H143" s="1264"/>
      <c r="I143" s="1264"/>
      <c r="J143" s="1305"/>
      <c r="K143" s="1319"/>
      <c r="L143" s="1319"/>
      <c r="M143" s="1319"/>
      <c r="N143" s="1319"/>
      <c r="O143" s="555" t="s">
        <v>752</v>
      </c>
      <c r="P143" s="214" t="s">
        <v>265</v>
      </c>
      <c r="Q143" s="358" t="s">
        <v>266</v>
      </c>
      <c r="R143" s="531" t="s">
        <v>752</v>
      </c>
      <c r="S143" s="353" t="str">
        <f>IF(ISBLANK(A146),"",A146)</f>
        <v/>
      </c>
      <c r="T143" s="359" t="s">
        <v>192</v>
      </c>
      <c r="U143" s="357"/>
      <c r="V143" s="357"/>
      <c r="W143" s="380"/>
      <c r="X143" s="380"/>
      <c r="Y143" s="380"/>
      <c r="Z143" s="380"/>
      <c r="AA143" s="380"/>
      <c r="AB143" s="380"/>
      <c r="AC143" s="380"/>
      <c r="AD143" s="385"/>
      <c r="AE143" s="122"/>
      <c r="AF143" s="122"/>
      <c r="AG143" s="122"/>
      <c r="AH143" s="122"/>
      <c r="AI143" s="122"/>
      <c r="AJ143" s="122"/>
      <c r="AK143" s="122"/>
      <c r="AL143" s="122"/>
      <c r="AM143" s="122"/>
      <c r="AN143" s="122"/>
      <c r="AO143" s="122"/>
      <c r="AP143" s="122"/>
      <c r="AQ143" s="122"/>
      <c r="AR143" s="122"/>
      <c r="AS143" s="122"/>
      <c r="AT143" s="122"/>
      <c r="AU143" s="122"/>
      <c r="AV143" s="122"/>
      <c r="AW143" s="122"/>
      <c r="AX143" s="122"/>
      <c r="AY143" s="122"/>
      <c r="AZ143" s="122"/>
    </row>
    <row r="144" spans="1:52" ht="26.25" customHeight="1" x14ac:dyDescent="0.25">
      <c r="A144" s="1279"/>
      <c r="B144" s="1280"/>
      <c r="C144" s="1280"/>
      <c r="D144" s="1280"/>
      <c r="E144" s="1280"/>
      <c r="F144" s="1280"/>
      <c r="G144" s="1280"/>
      <c r="H144" s="1280"/>
      <c r="I144" s="1280"/>
      <c r="J144" s="1306"/>
      <c r="K144" s="1307" t="s">
        <v>615</v>
      </c>
      <c r="L144" s="1308"/>
      <c r="M144" s="1308"/>
      <c r="N144" s="1308"/>
      <c r="O144" s="1309"/>
      <c r="P144" s="365"/>
      <c r="Q144" s="400"/>
      <c r="R144" s="355" t="str">
        <f>IF(COUNTBLANK(P144:Q144)=2,"Please enter response.",IF(COUNTBLANK(P144:Q144)&lt;&gt;1,"Please VERIFY response.",""))</f>
        <v>Please enter response.</v>
      </c>
      <c r="S144" s="366" t="str">
        <f>IF(AND(ISBLANK(P144),ISBLANK(Q144)),"",IF(ISBLANK(P144),0,1))</f>
        <v/>
      </c>
      <c r="T144" s="233" t="s">
        <v>586</v>
      </c>
      <c r="U144" s="200"/>
      <c r="V144" s="200"/>
      <c r="W144" s="380"/>
      <c r="X144" s="380"/>
      <c r="Y144" s="380"/>
      <c r="Z144" s="380"/>
      <c r="AA144" s="380"/>
      <c r="AB144" s="380"/>
      <c r="AC144" s="380"/>
      <c r="AD144" s="385"/>
      <c r="AE144" s="122"/>
      <c r="AF144" s="122"/>
      <c r="AG144" s="122"/>
      <c r="AH144" s="122"/>
      <c r="AI144" s="122"/>
      <c r="AJ144" s="122"/>
      <c r="AK144" s="122"/>
      <c r="AL144" s="122"/>
      <c r="AM144" s="122"/>
      <c r="AN144" s="122"/>
      <c r="AO144" s="122"/>
      <c r="AP144" s="122"/>
      <c r="AQ144" s="122"/>
      <c r="AR144" s="122"/>
      <c r="AS144" s="122"/>
      <c r="AT144" s="122"/>
      <c r="AU144" s="122"/>
      <c r="AV144" s="122"/>
      <c r="AW144" s="122"/>
      <c r="AX144" s="122"/>
      <c r="AY144" s="122"/>
      <c r="AZ144" s="122"/>
    </row>
    <row r="145" spans="1:52" ht="26.25" customHeight="1" x14ac:dyDescent="0.25">
      <c r="A145" s="1322" t="s">
        <v>616</v>
      </c>
      <c r="B145" s="1323"/>
      <c r="C145" s="1323"/>
      <c r="D145" s="1323"/>
      <c r="E145" s="1323"/>
      <c r="F145" s="1323"/>
      <c r="G145" s="1323"/>
      <c r="H145" s="1323"/>
      <c r="I145" s="1323"/>
      <c r="J145" s="1324"/>
      <c r="K145" s="1307" t="s">
        <v>617</v>
      </c>
      <c r="L145" s="1308"/>
      <c r="M145" s="1308"/>
      <c r="N145" s="1308"/>
      <c r="O145" s="1309"/>
      <c r="P145" s="365"/>
      <c r="Q145" s="400"/>
      <c r="R145" s="355" t="str">
        <f>IF(COUNTBLANK(P145:Q145)=2,"Please enter response.",IF(COUNTBLANK(P145:Q145)&lt;&gt;1,"Please VERIFY response.",""))</f>
        <v>Please enter response.</v>
      </c>
      <c r="S145" s="366" t="str">
        <f>IF(AND(ISBLANK(P145),ISBLANK(Q145)),"",IF(ISBLANK(P145),0,1))</f>
        <v/>
      </c>
      <c r="T145" s="233" t="s">
        <v>587</v>
      </c>
      <c r="U145" s="200"/>
      <c r="V145" s="200"/>
      <c r="W145" s="380"/>
      <c r="X145" s="380"/>
      <c r="Y145" s="380"/>
      <c r="Z145" s="380"/>
      <c r="AA145" s="380"/>
      <c r="AB145" s="380"/>
      <c r="AC145" s="380"/>
      <c r="AD145" s="385"/>
      <c r="AE145" s="122"/>
      <c r="AF145" s="122"/>
      <c r="AG145" s="122"/>
      <c r="AH145" s="122"/>
      <c r="AI145" s="122"/>
      <c r="AJ145" s="122"/>
      <c r="AK145" s="122"/>
      <c r="AL145" s="122"/>
      <c r="AM145" s="122"/>
      <c r="AN145" s="122"/>
      <c r="AO145" s="122"/>
      <c r="AP145" s="122"/>
      <c r="AQ145" s="122"/>
      <c r="AR145" s="122"/>
      <c r="AS145" s="122"/>
      <c r="AT145" s="122"/>
      <c r="AU145" s="122"/>
      <c r="AV145" s="122"/>
      <c r="AW145" s="122"/>
      <c r="AX145" s="122"/>
      <c r="AY145" s="122"/>
      <c r="AZ145" s="122"/>
    </row>
    <row r="146" spans="1:52" ht="26.25" customHeight="1" x14ac:dyDescent="0.25">
      <c r="A146" s="1263"/>
      <c r="B146" s="1264"/>
      <c r="C146" s="1264"/>
      <c r="D146" s="1264"/>
      <c r="E146" s="1264"/>
      <c r="F146" s="1264"/>
      <c r="G146" s="1264"/>
      <c r="H146" s="1264"/>
      <c r="I146" s="1264"/>
      <c r="J146" s="1305"/>
      <c r="K146" s="1307" t="s">
        <v>618</v>
      </c>
      <c r="L146" s="1308"/>
      <c r="M146" s="1308"/>
      <c r="N146" s="1308"/>
      <c r="O146" s="1309"/>
      <c r="P146" s="365"/>
      <c r="Q146" s="400"/>
      <c r="R146" s="355" t="str">
        <f>IF(COUNTBLANK(P146:Q146)=2,"Please enter response.",IF(COUNTBLANK(P146:Q146)&lt;&gt;1,"Please VERIFY response.",""))</f>
        <v>Please enter response.</v>
      </c>
      <c r="S146" s="366" t="str">
        <f>IF(AND(ISBLANK(P146),ISBLANK(Q146)),"",IF(ISBLANK(P146),0,1))</f>
        <v/>
      </c>
      <c r="T146" s="233" t="s">
        <v>588</v>
      </c>
      <c r="U146" s="200"/>
      <c r="V146" s="200"/>
      <c r="W146" s="380"/>
      <c r="X146" s="380"/>
      <c r="Y146" s="380"/>
      <c r="Z146" s="380"/>
      <c r="AA146" s="388"/>
      <c r="AB146" s="388"/>
      <c r="AC146" s="388"/>
      <c r="AD146" s="385"/>
      <c r="AE146" s="122"/>
      <c r="AF146" s="122"/>
      <c r="AG146" s="122"/>
      <c r="AH146" s="122"/>
      <c r="AI146" s="122"/>
      <c r="AJ146" s="122"/>
      <c r="AK146" s="122"/>
      <c r="AL146" s="122"/>
      <c r="AM146" s="122"/>
      <c r="AN146" s="122"/>
      <c r="AO146" s="122"/>
      <c r="AP146" s="122"/>
      <c r="AQ146" s="122"/>
      <c r="AR146" s="122"/>
      <c r="AS146" s="122"/>
      <c r="AT146" s="122"/>
      <c r="AU146" s="122"/>
      <c r="AV146" s="122"/>
      <c r="AW146" s="122"/>
      <c r="AX146" s="122"/>
      <c r="AY146" s="122"/>
      <c r="AZ146" s="122"/>
    </row>
    <row r="147" spans="1:52" ht="26.25" customHeight="1" x14ac:dyDescent="0.25">
      <c r="A147" s="1279"/>
      <c r="B147" s="1280"/>
      <c r="C147" s="1280"/>
      <c r="D147" s="1280"/>
      <c r="E147" s="1280"/>
      <c r="F147" s="1280"/>
      <c r="G147" s="1280"/>
      <c r="H147" s="1280"/>
      <c r="I147" s="1280"/>
      <c r="J147" s="1306"/>
      <c r="K147" s="1307" t="s">
        <v>619</v>
      </c>
      <c r="L147" s="1308"/>
      <c r="M147" s="1308"/>
      <c r="N147" s="1308"/>
      <c r="O147" s="1309"/>
      <c r="P147" s="365"/>
      <c r="Q147" s="400"/>
      <c r="R147" s="355" t="str">
        <f>IF(COUNTBLANK(P147:Q147)=2,"Please enter response.",IF(COUNTBLANK(P147:Q147)&lt;&gt;1,"Please VERIFY response.",""))</f>
        <v>Please enter response.</v>
      </c>
      <c r="S147" s="366" t="str">
        <f>IF(AND(ISBLANK(P147),ISBLANK(Q147)),"",IF(ISBLANK(P147),0,1))</f>
        <v/>
      </c>
      <c r="T147" s="233" t="s">
        <v>589</v>
      </c>
      <c r="U147" s="200"/>
      <c r="V147" s="200"/>
      <c r="W147" s="380"/>
      <c r="X147" s="198"/>
      <c r="Y147" s="198"/>
      <c r="Z147" s="198"/>
      <c r="AA147" s="378"/>
      <c r="AB147" s="378"/>
      <c r="AC147" s="378"/>
      <c r="AD147" s="385"/>
      <c r="AE147" s="122"/>
      <c r="AF147" s="122"/>
      <c r="AG147" s="122"/>
      <c r="AH147" s="122"/>
      <c r="AI147" s="122"/>
      <c r="AJ147" s="122"/>
      <c r="AK147" s="122"/>
      <c r="AL147" s="122"/>
      <c r="AM147" s="122"/>
      <c r="AN147" s="122"/>
      <c r="AO147" s="122"/>
      <c r="AP147" s="122"/>
      <c r="AQ147" s="122"/>
      <c r="AR147" s="122"/>
      <c r="AS147" s="122"/>
      <c r="AT147" s="122"/>
      <c r="AU147" s="122"/>
      <c r="AV147" s="122"/>
      <c r="AW147" s="122"/>
      <c r="AX147" s="122"/>
      <c r="AY147" s="122"/>
      <c r="AZ147" s="122"/>
    </row>
    <row r="148" spans="1:52" ht="26.25" customHeight="1" x14ac:dyDescent="0.2">
      <c r="A148" s="1310" t="s">
        <v>620</v>
      </c>
      <c r="B148" s="1311"/>
      <c r="C148" s="1311"/>
      <c r="D148" s="1311"/>
      <c r="E148" s="1311"/>
      <c r="F148" s="1311"/>
      <c r="G148" s="1311"/>
      <c r="H148" s="1311"/>
      <c r="I148" s="1311"/>
      <c r="J148" s="1311"/>
      <c r="K148" s="1311"/>
      <c r="L148" s="1311"/>
      <c r="M148" s="1311"/>
      <c r="N148" s="1311"/>
      <c r="O148" s="1311"/>
      <c r="P148" s="1311"/>
      <c r="Q148" s="1312"/>
      <c r="R148" s="534" t="s">
        <v>752</v>
      </c>
      <c r="S148" s="377"/>
      <c r="T148" s="368"/>
      <c r="U148" s="368"/>
      <c r="V148" s="368"/>
      <c r="W148" s="380"/>
      <c r="X148" s="378"/>
      <c r="Y148" s="378"/>
      <c r="Z148" s="378"/>
      <c r="AA148" s="380"/>
      <c r="AB148" s="380"/>
      <c r="AC148" s="380"/>
      <c r="AD148" s="198"/>
      <c r="AE148" s="122"/>
      <c r="AF148" s="122"/>
      <c r="AG148" s="122"/>
      <c r="AH148" s="122"/>
      <c r="AI148" s="122"/>
      <c r="AJ148" s="122"/>
      <c r="AK148" s="122"/>
      <c r="AL148" s="122"/>
      <c r="AM148" s="122"/>
      <c r="AN148" s="122"/>
      <c r="AO148" s="122"/>
      <c r="AP148" s="122"/>
      <c r="AQ148" s="122"/>
      <c r="AR148" s="122"/>
      <c r="AS148" s="122"/>
      <c r="AT148" s="122"/>
      <c r="AU148" s="122"/>
      <c r="AV148" s="122"/>
      <c r="AW148" s="122"/>
      <c r="AX148" s="122"/>
      <c r="AY148" s="122"/>
      <c r="AZ148" s="122"/>
    </row>
    <row r="149" spans="1:52" ht="26.25" customHeight="1" x14ac:dyDescent="0.25">
      <c r="A149" s="1313" t="s">
        <v>621</v>
      </c>
      <c r="B149" s="1314"/>
      <c r="C149" s="1314"/>
      <c r="D149" s="1314"/>
      <c r="E149" s="1314" t="s">
        <v>622</v>
      </c>
      <c r="F149" s="1314"/>
      <c r="G149" s="1314"/>
      <c r="H149" s="1314"/>
      <c r="I149" s="1314" t="s">
        <v>623</v>
      </c>
      <c r="J149" s="1314"/>
      <c r="K149" s="1314"/>
      <c r="L149" s="1314"/>
      <c r="M149" s="1315" t="s">
        <v>624</v>
      </c>
      <c r="N149" s="1314"/>
      <c r="O149" s="1314"/>
      <c r="P149" s="1314"/>
      <c r="Q149" s="1316"/>
      <c r="R149" s="534" t="s">
        <v>752</v>
      </c>
      <c r="S149" s="1298" t="s">
        <v>625</v>
      </c>
      <c r="T149" s="1298"/>
      <c r="U149" s="1298"/>
      <c r="V149" s="1298"/>
      <c r="W149" s="380"/>
      <c r="X149" s="380"/>
      <c r="Y149" s="380"/>
      <c r="Z149" s="380"/>
      <c r="AA149" s="380"/>
      <c r="AB149" s="380"/>
      <c r="AC149" s="380"/>
      <c r="AD149" s="385"/>
      <c r="AE149" s="122"/>
      <c r="AF149" s="122"/>
      <c r="AG149" s="122"/>
      <c r="AH149" s="122"/>
      <c r="AI149" s="122"/>
      <c r="AJ149" s="122"/>
      <c r="AK149" s="122"/>
      <c r="AL149" s="122"/>
      <c r="AM149" s="122"/>
      <c r="AN149" s="122"/>
      <c r="AO149" s="122"/>
      <c r="AP149" s="122"/>
      <c r="AQ149" s="122"/>
      <c r="AR149" s="122"/>
      <c r="AS149" s="122"/>
      <c r="AT149" s="122"/>
      <c r="AU149" s="122"/>
      <c r="AV149" s="122"/>
      <c r="AW149" s="122"/>
      <c r="AX149" s="122"/>
      <c r="AY149" s="122"/>
      <c r="AZ149" s="122"/>
    </row>
    <row r="150" spans="1:52" ht="26.25" customHeight="1" thickBot="1" x14ac:dyDescent="0.3">
      <c r="A150" s="1299"/>
      <c r="B150" s="848"/>
      <c r="C150" s="848"/>
      <c r="D150" s="848"/>
      <c r="E150" s="848"/>
      <c r="F150" s="848"/>
      <c r="G150" s="848"/>
      <c r="H150" s="848"/>
      <c r="I150" s="848"/>
      <c r="J150" s="848"/>
      <c r="K150" s="848"/>
      <c r="L150" s="848"/>
      <c r="M150" s="1300"/>
      <c r="N150" s="1300"/>
      <c r="O150" s="1300"/>
      <c r="P150" s="1300"/>
      <c r="Q150" s="1301"/>
      <c r="R150" s="531" t="s">
        <v>752</v>
      </c>
      <c r="S150" s="381" t="str">
        <f>IF(ISBLANK(A150),"",VLOOKUP(A150,VProjType,2,FALSE))</f>
        <v/>
      </c>
      <c r="T150" s="381" t="str">
        <f>IF(ISBLANK(E150),"",VLOOKUP(E150,VSubtype1,2,FALSE))</f>
        <v/>
      </c>
      <c r="U150" s="381" t="str">
        <f>IF(ISBLANK(I150),"",VLOOKUP(I150,VSubtype2,2,FALSE))</f>
        <v/>
      </c>
      <c r="V150" s="381" t="str">
        <f>IF(ISBLANK(M150),"",VLOOKUP(M150,VSubtype3,2,FALSE))</f>
        <v/>
      </c>
      <c r="W150" s="380"/>
      <c r="X150" s="380"/>
      <c r="Y150" s="380"/>
      <c r="Z150" s="380"/>
      <c r="AA150" s="380"/>
      <c r="AB150" s="380"/>
      <c r="AC150" s="380"/>
      <c r="AD150" s="385"/>
      <c r="AE150" s="122"/>
      <c r="AF150" s="122"/>
      <c r="AG150" s="122"/>
      <c r="AH150" s="122"/>
      <c r="AI150" s="122"/>
      <c r="AJ150" s="122"/>
      <c r="AK150" s="122"/>
      <c r="AL150" s="122"/>
      <c r="AM150" s="122"/>
      <c r="AN150" s="122"/>
      <c r="AO150" s="122"/>
      <c r="AP150" s="122"/>
      <c r="AQ150" s="122"/>
      <c r="AR150" s="122"/>
      <c r="AS150" s="122"/>
      <c r="AT150" s="122"/>
      <c r="AU150" s="122"/>
      <c r="AV150" s="122"/>
      <c r="AW150" s="122"/>
      <c r="AX150" s="122"/>
      <c r="AY150" s="122"/>
      <c r="AZ150" s="122"/>
    </row>
    <row r="151" spans="1:52" ht="26.25" customHeight="1" x14ac:dyDescent="0.2">
      <c r="A151" s="1302" t="s">
        <v>627</v>
      </c>
      <c r="B151" s="1303"/>
      <c r="C151" s="1303"/>
      <c r="D151" s="1303"/>
      <c r="E151" s="1303"/>
      <c r="F151" s="1303"/>
      <c r="G151" s="1303"/>
      <c r="H151" s="1303"/>
      <c r="I151" s="1303"/>
      <c r="J151" s="1303"/>
      <c r="K151" s="1303"/>
      <c r="L151" s="1303"/>
      <c r="M151" s="1303"/>
      <c r="N151" s="1303"/>
      <c r="O151" s="1303"/>
      <c r="P151" s="1303"/>
      <c r="Q151" s="1304"/>
      <c r="R151" s="531" t="s">
        <v>752</v>
      </c>
      <c r="S151" s="382" t="s">
        <v>628</v>
      </c>
      <c r="T151" s="378"/>
      <c r="U151" s="378"/>
      <c r="V151" s="378"/>
      <c r="W151" s="198"/>
      <c r="X151" s="380"/>
      <c r="Y151" s="380"/>
      <c r="Z151" s="380"/>
      <c r="AA151" s="380"/>
      <c r="AB151" s="380"/>
      <c r="AC151" s="380"/>
      <c r="AD151" s="198"/>
      <c r="AE151" s="122"/>
      <c r="AF151" s="122"/>
      <c r="AG151" s="122"/>
      <c r="AH151" s="122"/>
      <c r="AI151" s="122"/>
      <c r="AJ151" s="122"/>
      <c r="AK151" s="122"/>
      <c r="AL151" s="122"/>
      <c r="AM151" s="122"/>
      <c r="AN151" s="122"/>
      <c r="AO151" s="122"/>
      <c r="AP151" s="122"/>
      <c r="AQ151" s="122"/>
      <c r="AR151" s="122"/>
      <c r="AS151" s="122"/>
      <c r="AT151" s="122"/>
      <c r="AU151" s="122"/>
      <c r="AV151" s="122"/>
      <c r="AW151" s="122"/>
      <c r="AX151" s="122"/>
      <c r="AY151" s="122"/>
      <c r="AZ151" s="122"/>
    </row>
    <row r="152" spans="1:52" ht="26.25" customHeight="1" x14ac:dyDescent="0.2">
      <c r="A152" s="1269" t="s">
        <v>629</v>
      </c>
      <c r="B152" s="1270"/>
      <c r="C152" s="1270"/>
      <c r="D152" s="1270"/>
      <c r="E152" s="1270"/>
      <c r="F152" s="1270"/>
      <c r="G152" s="1270"/>
      <c r="H152" s="1270"/>
      <c r="I152" s="1270"/>
      <c r="J152" s="1270"/>
      <c r="K152" s="1270"/>
      <c r="L152" s="1271"/>
      <c r="M152" s="1272"/>
      <c r="N152" s="1273"/>
      <c r="O152" s="1273"/>
      <c r="P152" s="1273"/>
      <c r="Q152" s="1274"/>
      <c r="R152" s="531" t="s">
        <v>752</v>
      </c>
      <c r="S152" s="383" t="str">
        <f>IF(ISBLANK(M152),"",VLOOKUP(M152,VRemote,2,FALSE))</f>
        <v/>
      </c>
      <c r="T152" s="384" t="s">
        <v>630</v>
      </c>
      <c r="U152" s="378"/>
      <c r="V152" s="378"/>
      <c r="W152" s="378"/>
      <c r="X152" s="380"/>
      <c r="Y152" s="380"/>
      <c r="Z152" s="380"/>
      <c r="AA152" s="380"/>
      <c r="AB152" s="380"/>
      <c r="AC152" s="380"/>
      <c r="AD152" s="198"/>
      <c r="AE152" s="122"/>
      <c r="AF152" s="122"/>
      <c r="AG152" s="122"/>
      <c r="AH152" s="122"/>
      <c r="AI152" s="122"/>
      <c r="AJ152" s="122"/>
      <c r="AK152" s="122"/>
      <c r="AL152" s="122"/>
      <c r="AM152" s="122"/>
      <c r="AN152" s="122"/>
      <c r="AO152" s="122"/>
      <c r="AP152" s="122"/>
      <c r="AQ152" s="122"/>
      <c r="AR152" s="122"/>
      <c r="AS152" s="122"/>
      <c r="AT152" s="122"/>
      <c r="AU152" s="122"/>
      <c r="AV152" s="122"/>
      <c r="AW152" s="122"/>
      <c r="AX152" s="122"/>
      <c r="AY152" s="122"/>
      <c r="AZ152" s="122"/>
    </row>
    <row r="153" spans="1:52" ht="26.25" customHeight="1" x14ac:dyDescent="0.2">
      <c r="A153" s="1269" t="s">
        <v>631</v>
      </c>
      <c r="B153" s="1270"/>
      <c r="C153" s="1270"/>
      <c r="D153" s="1270"/>
      <c r="E153" s="1270"/>
      <c r="F153" s="1270"/>
      <c r="G153" s="1270"/>
      <c r="H153" s="1270"/>
      <c r="I153" s="1270"/>
      <c r="J153" s="1270"/>
      <c r="K153" s="1270"/>
      <c r="L153" s="1270"/>
      <c r="M153" s="1272"/>
      <c r="N153" s="1273"/>
      <c r="O153" s="1273"/>
      <c r="P153" s="1273"/>
      <c r="Q153" s="1274"/>
      <c r="R153" s="531" t="s">
        <v>752</v>
      </c>
      <c r="S153" s="383" t="str">
        <f>IF(ISBLANK(M153),"",VLOOKUP(M153,VCapacity,2,FALSE))</f>
        <v/>
      </c>
      <c r="T153" s="151" t="s">
        <v>632</v>
      </c>
      <c r="U153" s="380"/>
      <c r="V153" s="380"/>
      <c r="W153" s="380"/>
      <c r="X153" s="380"/>
      <c r="Y153" s="380"/>
      <c r="Z153" s="380"/>
      <c r="AA153" s="380"/>
      <c r="AB153" s="380"/>
      <c r="AC153" s="380"/>
      <c r="AD153" s="198"/>
      <c r="AE153" s="122"/>
      <c r="AF153" s="122"/>
      <c r="AG153" s="122"/>
      <c r="AH153" s="122"/>
      <c r="AI153" s="122"/>
      <c r="AJ153" s="122"/>
      <c r="AK153" s="122"/>
      <c r="AL153" s="122"/>
      <c r="AM153" s="122"/>
      <c r="AN153" s="122"/>
      <c r="AO153" s="122"/>
      <c r="AP153" s="122"/>
      <c r="AQ153" s="122"/>
      <c r="AR153" s="122"/>
      <c r="AS153" s="122"/>
      <c r="AT153" s="122"/>
      <c r="AU153" s="122"/>
      <c r="AV153" s="122"/>
      <c r="AW153" s="122"/>
      <c r="AX153" s="122"/>
      <c r="AY153" s="122"/>
      <c r="AZ153" s="122"/>
    </row>
    <row r="154" spans="1:52" ht="26.25" customHeight="1" x14ac:dyDescent="0.2">
      <c r="A154" s="1269" t="s">
        <v>633</v>
      </c>
      <c r="B154" s="1270"/>
      <c r="C154" s="1270"/>
      <c r="D154" s="1270"/>
      <c r="E154" s="1270"/>
      <c r="F154" s="1270"/>
      <c r="G154" s="1270"/>
      <c r="H154" s="1270"/>
      <c r="I154" s="1270"/>
      <c r="J154" s="1270"/>
      <c r="K154" s="1270"/>
      <c r="L154" s="1270"/>
      <c r="M154" s="1272"/>
      <c r="N154" s="1273"/>
      <c r="O154" s="1273"/>
      <c r="P154" s="1273"/>
      <c r="Q154" s="1274"/>
      <c r="R154" s="531" t="s">
        <v>752</v>
      </c>
      <c r="S154" s="383" t="str">
        <f>IF(ISBLANK(M154),"",VLOOKUP(M154,VPriorCap,2,FALSE))</f>
        <v/>
      </c>
      <c r="T154" s="151" t="s">
        <v>634</v>
      </c>
      <c r="U154" s="380"/>
      <c r="V154" s="380"/>
      <c r="W154" s="380"/>
      <c r="X154" s="380"/>
      <c r="Y154" s="380"/>
      <c r="Z154" s="380"/>
      <c r="AA154" s="380"/>
      <c r="AB154" s="380"/>
      <c r="AC154" s="380"/>
      <c r="AD154" s="198"/>
      <c r="AE154" s="122"/>
      <c r="AF154" s="122"/>
      <c r="AG154" s="122"/>
      <c r="AH154" s="122"/>
      <c r="AI154" s="122"/>
      <c r="AJ154" s="122"/>
      <c r="AK154" s="122"/>
      <c r="AL154" s="122"/>
      <c r="AM154" s="122"/>
      <c r="AN154" s="122"/>
      <c r="AO154" s="122"/>
      <c r="AP154" s="122"/>
      <c r="AQ154" s="122"/>
      <c r="AR154" s="122"/>
      <c r="AS154" s="122"/>
      <c r="AT154" s="122"/>
      <c r="AU154" s="122"/>
      <c r="AV154" s="122"/>
      <c r="AW154" s="122"/>
      <c r="AX154" s="122"/>
      <c r="AY154" s="122"/>
      <c r="AZ154" s="122"/>
    </row>
    <row r="155" spans="1:52" ht="26.25" customHeight="1" x14ac:dyDescent="0.2">
      <c r="A155" s="1286" t="s">
        <v>636</v>
      </c>
      <c r="B155" s="1287"/>
      <c r="C155" s="1287"/>
      <c r="D155" s="1287"/>
      <c r="E155" s="1287"/>
      <c r="F155" s="1287"/>
      <c r="G155" s="1287"/>
      <c r="H155" s="1287"/>
      <c r="I155" s="1287"/>
      <c r="J155" s="1287"/>
      <c r="K155" s="1287"/>
      <c r="L155" s="1287"/>
      <c r="M155" s="1287"/>
      <c r="N155" s="1287"/>
      <c r="O155" s="1287"/>
      <c r="P155" s="1287"/>
      <c r="Q155" s="1288"/>
      <c r="R155" s="531" t="s">
        <v>752</v>
      </c>
      <c r="S155" s="386" t="str">
        <f>IF(ISBLANK(A156),"",A156)</f>
        <v/>
      </c>
      <c r="T155" s="151" t="s">
        <v>583</v>
      </c>
      <c r="U155" s="380"/>
      <c r="V155" s="380"/>
      <c r="W155" s="380"/>
      <c r="X155" s="380"/>
      <c r="Y155" s="380"/>
      <c r="Z155" s="380"/>
      <c r="AA155" s="380"/>
      <c r="AB155" s="380"/>
      <c r="AC155" s="380"/>
      <c r="AD155" s="198"/>
      <c r="AE155" s="122"/>
      <c r="AF155" s="122"/>
      <c r="AG155" s="122"/>
      <c r="AH155" s="122"/>
      <c r="AI155" s="122"/>
      <c r="AJ155" s="122"/>
      <c r="AK155" s="122"/>
      <c r="AL155" s="122"/>
      <c r="AM155" s="122"/>
      <c r="AN155" s="122"/>
      <c r="AO155" s="122"/>
      <c r="AP155" s="122"/>
      <c r="AQ155" s="122"/>
      <c r="AR155" s="122"/>
      <c r="AS155" s="122"/>
      <c r="AT155" s="122"/>
      <c r="AU155" s="122"/>
      <c r="AV155" s="122"/>
      <c r="AW155" s="122"/>
      <c r="AX155" s="122"/>
      <c r="AY155" s="122"/>
      <c r="AZ155" s="122"/>
    </row>
    <row r="156" spans="1:52" ht="26.25" customHeight="1" x14ac:dyDescent="0.2">
      <c r="A156" s="1278"/>
      <c r="B156" s="1255"/>
      <c r="C156" s="1255"/>
      <c r="D156" s="1255"/>
      <c r="E156" s="1255"/>
      <c r="F156" s="1255"/>
      <c r="G156" s="1255"/>
      <c r="H156" s="1255"/>
      <c r="I156" s="1255"/>
      <c r="J156" s="1255"/>
      <c r="K156" s="1255"/>
      <c r="L156" s="1255"/>
      <c r="M156" s="1255"/>
      <c r="N156" s="1255"/>
      <c r="O156" s="1255"/>
      <c r="P156" s="1255"/>
      <c r="Q156" s="1285"/>
      <c r="R156" s="531" t="s">
        <v>752</v>
      </c>
      <c r="S156" s="380"/>
      <c r="T156" s="380"/>
      <c r="U156" s="380"/>
      <c r="V156" s="380"/>
      <c r="W156" s="380"/>
      <c r="X156" s="380"/>
      <c r="Y156" s="380"/>
      <c r="Z156" s="380"/>
      <c r="AA156" s="380"/>
      <c r="AB156" s="380"/>
      <c r="AC156" s="380"/>
      <c r="AD156" s="198"/>
      <c r="AE156" s="122"/>
      <c r="AF156" s="122"/>
      <c r="AG156" s="122"/>
      <c r="AH156" s="122"/>
      <c r="AI156" s="122"/>
      <c r="AJ156" s="122"/>
      <c r="AK156" s="122"/>
      <c r="AL156" s="122"/>
      <c r="AM156" s="122"/>
      <c r="AN156" s="122"/>
      <c r="AO156" s="122"/>
      <c r="AP156" s="122"/>
      <c r="AQ156" s="122"/>
      <c r="AR156" s="122"/>
      <c r="AS156" s="122"/>
      <c r="AT156" s="122"/>
      <c r="AU156" s="122"/>
      <c r="AV156" s="122"/>
      <c r="AW156" s="122"/>
      <c r="AX156" s="122"/>
      <c r="AY156" s="122"/>
      <c r="AZ156" s="122"/>
    </row>
    <row r="157" spans="1:52" ht="26.25" customHeight="1" x14ac:dyDescent="0.2">
      <c r="A157" s="1289"/>
      <c r="B157" s="1290"/>
      <c r="C157" s="1290"/>
      <c r="D157" s="1290"/>
      <c r="E157" s="1290"/>
      <c r="F157" s="1290"/>
      <c r="G157" s="1290"/>
      <c r="H157" s="1290"/>
      <c r="I157" s="1290"/>
      <c r="J157" s="1290"/>
      <c r="K157" s="1290"/>
      <c r="L157" s="1290"/>
      <c r="M157" s="1290"/>
      <c r="N157" s="1290"/>
      <c r="O157" s="1290"/>
      <c r="P157" s="1290"/>
      <c r="Q157" s="1291"/>
      <c r="R157" s="531" t="s">
        <v>752</v>
      </c>
      <c r="S157" s="380"/>
      <c r="T157" s="380"/>
      <c r="U157" s="380"/>
      <c r="V157" s="380"/>
      <c r="W157" s="380"/>
      <c r="X157" s="380"/>
      <c r="Y157" s="380"/>
      <c r="Z157" s="380"/>
      <c r="AA157" s="198"/>
      <c r="AB157" s="198"/>
      <c r="AC157" s="198"/>
      <c r="AD157" s="198"/>
      <c r="AE157" s="122"/>
      <c r="AF157" s="122"/>
      <c r="AG157" s="122"/>
      <c r="AH157" s="122"/>
      <c r="AI157" s="122"/>
      <c r="AJ157" s="122"/>
      <c r="AK157" s="122"/>
      <c r="AL157" s="122"/>
      <c r="AM157" s="122"/>
      <c r="AN157" s="122"/>
      <c r="AO157" s="122"/>
      <c r="AP157" s="122"/>
      <c r="AQ157" s="122"/>
      <c r="AR157" s="122"/>
      <c r="AS157" s="122"/>
      <c r="AT157" s="122"/>
      <c r="AU157" s="122"/>
      <c r="AV157" s="122"/>
      <c r="AW157" s="122"/>
      <c r="AX157" s="122"/>
      <c r="AY157" s="122"/>
      <c r="AZ157" s="122"/>
    </row>
    <row r="158" spans="1:52" ht="26.25" customHeight="1" x14ac:dyDescent="0.2">
      <c r="A158" s="1292" t="s">
        <v>638</v>
      </c>
      <c r="B158" s="1293"/>
      <c r="C158" s="1293"/>
      <c r="D158" s="1293"/>
      <c r="E158" s="1293"/>
      <c r="F158" s="1293"/>
      <c r="G158" s="1293"/>
      <c r="H158" s="1293"/>
      <c r="I158" s="1293"/>
      <c r="J158" s="1293"/>
      <c r="K158" s="1293"/>
      <c r="L158" s="1293"/>
      <c r="M158" s="1293"/>
      <c r="N158" s="1293"/>
      <c r="O158" s="1293"/>
      <c r="P158" s="1293"/>
      <c r="Q158" s="1294"/>
      <c r="R158" s="534" t="s">
        <v>752</v>
      </c>
      <c r="S158" s="382"/>
      <c r="T158" s="382"/>
      <c r="U158" s="382"/>
      <c r="V158" s="382"/>
      <c r="W158" s="380"/>
      <c r="X158" s="388"/>
      <c r="Y158" s="388"/>
      <c r="Z158" s="388"/>
      <c r="AA158" s="382"/>
      <c r="AB158" s="382"/>
      <c r="AC158" s="382"/>
      <c r="AD158" s="198"/>
      <c r="AE158" s="122"/>
      <c r="AF158" s="122"/>
      <c r="AG158" s="122"/>
      <c r="AH158" s="122"/>
      <c r="AI158" s="122"/>
      <c r="AJ158" s="122"/>
      <c r="AK158" s="122"/>
      <c r="AL158" s="122"/>
      <c r="AM158" s="122"/>
      <c r="AN158" s="122"/>
      <c r="AO158" s="122"/>
      <c r="AP158" s="122"/>
      <c r="AQ158" s="122"/>
      <c r="AR158" s="122"/>
      <c r="AS158" s="122"/>
      <c r="AT158" s="122"/>
      <c r="AU158" s="122"/>
      <c r="AV158" s="122"/>
      <c r="AW158" s="122"/>
      <c r="AX158" s="122"/>
      <c r="AY158" s="122"/>
      <c r="AZ158" s="122"/>
    </row>
    <row r="159" spans="1:52" ht="26.25" customHeight="1" x14ac:dyDescent="0.2">
      <c r="A159" s="1278"/>
      <c r="B159" s="1255"/>
      <c r="C159" s="1255"/>
      <c r="D159" s="1255"/>
      <c r="E159" s="1255"/>
      <c r="F159" s="1255"/>
      <c r="G159" s="1255"/>
      <c r="H159" s="1255"/>
      <c r="I159" s="1255"/>
      <c r="J159" s="1255"/>
      <c r="K159" s="1255"/>
      <c r="L159" s="1255"/>
      <c r="M159" s="1255"/>
      <c r="N159" s="1255"/>
      <c r="O159" s="1255"/>
      <c r="P159" s="1255"/>
      <c r="Q159" s="1256"/>
      <c r="R159" s="534" t="s">
        <v>752</v>
      </c>
      <c r="S159" s="386" t="str">
        <f>IF(ISBLANK(A159),"",A159)</f>
        <v/>
      </c>
      <c r="T159" s="354" t="s">
        <v>194</v>
      </c>
      <c r="U159" s="380"/>
      <c r="V159" s="380"/>
      <c r="W159" s="380"/>
      <c r="X159" s="394"/>
      <c r="Y159" s="394"/>
      <c r="Z159" s="394"/>
      <c r="AA159" s="380"/>
      <c r="AB159" s="380"/>
      <c r="AC159" s="380"/>
      <c r="AD159" s="198"/>
      <c r="AE159" s="122"/>
      <c r="AF159" s="122"/>
      <c r="AG159" s="122"/>
      <c r="AH159" s="122"/>
      <c r="AI159" s="122"/>
      <c r="AJ159" s="122"/>
      <c r="AK159" s="122"/>
      <c r="AL159" s="122"/>
      <c r="AM159" s="122"/>
      <c r="AN159" s="122"/>
      <c r="AO159" s="122"/>
      <c r="AP159" s="122"/>
      <c r="AQ159" s="122"/>
      <c r="AR159" s="122"/>
      <c r="AS159" s="122"/>
      <c r="AT159" s="122"/>
      <c r="AU159" s="122"/>
      <c r="AV159" s="122"/>
      <c r="AW159" s="122"/>
      <c r="AX159" s="122"/>
      <c r="AY159" s="122"/>
      <c r="AZ159" s="122"/>
    </row>
    <row r="160" spans="1:52" ht="26.25" customHeight="1" thickBot="1" x14ac:dyDescent="0.25">
      <c r="A160" s="1266"/>
      <c r="B160" s="1267"/>
      <c r="C160" s="1267"/>
      <c r="D160" s="1267"/>
      <c r="E160" s="1267"/>
      <c r="F160" s="1267"/>
      <c r="G160" s="1267"/>
      <c r="H160" s="1267"/>
      <c r="I160" s="1267"/>
      <c r="J160" s="1267"/>
      <c r="K160" s="1267"/>
      <c r="L160" s="1267"/>
      <c r="M160" s="1267"/>
      <c r="N160" s="1267"/>
      <c r="O160" s="1267"/>
      <c r="P160" s="1267"/>
      <c r="Q160" s="1268"/>
      <c r="R160" s="531" t="s">
        <v>752</v>
      </c>
      <c r="S160" s="380"/>
      <c r="T160" s="354"/>
      <c r="U160" s="380"/>
      <c r="V160" s="380"/>
      <c r="W160" s="380"/>
      <c r="X160" s="198"/>
      <c r="Y160" s="198"/>
      <c r="Z160" s="198"/>
      <c r="AA160" s="380"/>
      <c r="AB160" s="380"/>
      <c r="AC160" s="380"/>
      <c r="AD160" s="198"/>
      <c r="AE160" s="122"/>
      <c r="AF160" s="122"/>
      <c r="AG160" s="122"/>
      <c r="AH160" s="122"/>
      <c r="AI160" s="122"/>
      <c r="AJ160" s="122"/>
      <c r="AK160" s="122"/>
      <c r="AL160" s="122"/>
      <c r="AM160" s="122"/>
      <c r="AN160" s="122"/>
      <c r="AO160" s="122"/>
      <c r="AP160" s="122"/>
      <c r="AQ160" s="122"/>
      <c r="AR160" s="122"/>
      <c r="AS160" s="122"/>
      <c r="AT160" s="122"/>
      <c r="AU160" s="122"/>
      <c r="AV160" s="122"/>
      <c r="AW160" s="122"/>
      <c r="AX160" s="122"/>
      <c r="AY160" s="122"/>
      <c r="AZ160" s="122"/>
    </row>
    <row r="161" spans="1:52" ht="26.25" customHeight="1" x14ac:dyDescent="0.2">
      <c r="A161" s="1260" t="s">
        <v>640</v>
      </c>
      <c r="B161" s="1261"/>
      <c r="C161" s="1261"/>
      <c r="D161" s="1261"/>
      <c r="E161" s="1261"/>
      <c r="F161" s="1261"/>
      <c r="G161" s="1261"/>
      <c r="H161" s="1261"/>
      <c r="I161" s="1261"/>
      <c r="J161" s="1261"/>
      <c r="K161" s="1261"/>
      <c r="L161" s="1261"/>
      <c r="M161" s="1261"/>
      <c r="N161" s="1261"/>
      <c r="O161" s="1261"/>
      <c r="P161" s="1261"/>
      <c r="Q161" s="1262"/>
      <c r="R161" s="531" t="s">
        <v>752</v>
      </c>
      <c r="S161" s="382" t="s">
        <v>641</v>
      </c>
      <c r="T161" s="378"/>
      <c r="U161" s="378"/>
      <c r="V161" s="378"/>
      <c r="W161" s="380"/>
      <c r="X161" s="198"/>
      <c r="Y161" s="198"/>
      <c r="Z161" s="198"/>
      <c r="AA161" s="380"/>
      <c r="AB161" s="380"/>
      <c r="AC161" s="380"/>
      <c r="AD161" s="198"/>
      <c r="AE161" s="122"/>
      <c r="AF161" s="122"/>
      <c r="AG161" s="122"/>
      <c r="AH161" s="122"/>
      <c r="AI161" s="122"/>
      <c r="AJ161" s="122"/>
      <c r="AK161" s="122"/>
      <c r="AL161" s="122"/>
      <c r="AM161" s="122"/>
      <c r="AN161" s="122"/>
      <c r="AO161" s="122"/>
      <c r="AP161" s="122"/>
      <c r="AQ161" s="122"/>
      <c r="AR161" s="122"/>
      <c r="AS161" s="122"/>
      <c r="AT161" s="122"/>
      <c r="AU161" s="122"/>
      <c r="AV161" s="122"/>
      <c r="AW161" s="122"/>
      <c r="AX161" s="122"/>
      <c r="AY161" s="122"/>
      <c r="AZ161" s="122"/>
    </row>
    <row r="162" spans="1:52" ht="26.25" customHeight="1" x14ac:dyDescent="0.2">
      <c r="A162" s="1295" t="s">
        <v>642</v>
      </c>
      <c r="B162" s="1296"/>
      <c r="C162" s="1296"/>
      <c r="D162" s="1296"/>
      <c r="E162" s="1296"/>
      <c r="F162" s="1296"/>
      <c r="G162" s="1296"/>
      <c r="H162" s="1296"/>
      <c r="I162" s="1296"/>
      <c r="J162" s="1296"/>
      <c r="K162" s="1296"/>
      <c r="L162" s="1297"/>
      <c r="M162" s="1272"/>
      <c r="N162" s="1273"/>
      <c r="O162" s="1273"/>
      <c r="P162" s="1273"/>
      <c r="Q162" s="1274"/>
      <c r="R162" s="531" t="s">
        <v>752</v>
      </c>
      <c r="S162" s="387" t="str">
        <f>IF(ISBLANK(M162),"",VLOOKUP(M162,VImpact,2,FALSE))</f>
        <v/>
      </c>
      <c r="T162" s="151" t="s">
        <v>643</v>
      </c>
      <c r="U162" s="380"/>
      <c r="V162" s="380"/>
      <c r="W162" s="388"/>
      <c r="X162" s="198"/>
      <c r="Y162" s="198"/>
      <c r="Z162" s="198"/>
      <c r="AA162" s="380"/>
      <c r="AB162" s="380"/>
      <c r="AC162" s="380"/>
      <c r="AD162" s="198"/>
      <c r="AE162" s="122"/>
      <c r="AF162" s="122"/>
      <c r="AG162" s="122"/>
      <c r="AH162" s="122"/>
      <c r="AI162" s="122"/>
      <c r="AJ162" s="122"/>
      <c r="AK162" s="122"/>
      <c r="AL162" s="122"/>
      <c r="AM162" s="122"/>
      <c r="AN162" s="122"/>
      <c r="AO162" s="122"/>
      <c r="AP162" s="122"/>
      <c r="AQ162" s="122"/>
      <c r="AR162" s="122"/>
      <c r="AS162" s="122"/>
      <c r="AT162" s="122"/>
      <c r="AU162" s="122"/>
      <c r="AV162" s="122"/>
      <c r="AW162" s="122"/>
      <c r="AX162" s="122"/>
      <c r="AY162" s="122"/>
      <c r="AZ162" s="122"/>
    </row>
    <row r="163" spans="1:52" ht="26.25" customHeight="1" x14ac:dyDescent="0.2">
      <c r="A163" s="1269" t="s">
        <v>644</v>
      </c>
      <c r="B163" s="1270"/>
      <c r="C163" s="1270"/>
      <c r="D163" s="1270"/>
      <c r="E163" s="1270"/>
      <c r="F163" s="1270"/>
      <c r="G163" s="1270"/>
      <c r="H163" s="1270"/>
      <c r="I163" s="1270"/>
      <c r="J163" s="1270"/>
      <c r="K163" s="1270"/>
      <c r="L163" s="1271"/>
      <c r="M163" s="1272"/>
      <c r="N163" s="1273"/>
      <c r="O163" s="1273"/>
      <c r="P163" s="1273"/>
      <c r="Q163" s="1274"/>
      <c r="R163" s="531" t="s">
        <v>752</v>
      </c>
      <c r="S163" s="387" t="str">
        <f>IF(ISBLANK(M163),"",VLOOKUP(M163,VEvidence,2,FALSE))</f>
        <v/>
      </c>
      <c r="T163" s="233" t="s">
        <v>645</v>
      </c>
      <c r="U163" s="380"/>
      <c r="V163" s="380"/>
      <c r="W163" s="394"/>
      <c r="X163" s="198"/>
      <c r="Y163" s="198"/>
      <c r="Z163" s="198"/>
      <c r="AA163" s="380"/>
      <c r="AB163" s="380"/>
      <c r="AC163" s="380"/>
      <c r="AD163" s="198"/>
      <c r="AE163" s="122"/>
      <c r="AF163" s="122"/>
      <c r="AG163" s="122"/>
      <c r="AH163" s="122"/>
      <c r="AI163" s="122"/>
      <c r="AJ163" s="122"/>
      <c r="AK163" s="122"/>
      <c r="AL163" s="122"/>
      <c r="AM163" s="122"/>
      <c r="AN163" s="122"/>
      <c r="AO163" s="122"/>
      <c r="AP163" s="122"/>
      <c r="AQ163" s="122"/>
      <c r="AR163" s="122"/>
      <c r="AS163" s="122"/>
      <c r="AT163" s="122"/>
      <c r="AU163" s="122"/>
      <c r="AV163" s="122"/>
      <c r="AW163" s="122"/>
      <c r="AX163" s="122"/>
      <c r="AY163" s="122"/>
      <c r="AZ163" s="122"/>
    </row>
    <row r="164" spans="1:52" ht="26.25" customHeight="1" x14ac:dyDescent="0.2">
      <c r="A164" s="1275" t="s">
        <v>646</v>
      </c>
      <c r="B164" s="1276"/>
      <c r="C164" s="1276"/>
      <c r="D164" s="1276"/>
      <c r="E164" s="1276"/>
      <c r="F164" s="1276"/>
      <c r="G164" s="1276"/>
      <c r="H164" s="1276"/>
      <c r="I164" s="1276"/>
      <c r="J164" s="1276"/>
      <c r="K164" s="1276"/>
      <c r="L164" s="1276"/>
      <c r="M164" s="1276"/>
      <c r="N164" s="1276"/>
      <c r="O164" s="1276"/>
      <c r="P164" s="1276"/>
      <c r="Q164" s="1277"/>
      <c r="R164" s="531" t="s">
        <v>752</v>
      </c>
      <c r="S164" s="386" t="str">
        <f>IF(ISBLANK(A165),"",A165)</f>
        <v/>
      </c>
      <c r="T164" s="354" t="s">
        <v>193</v>
      </c>
      <c r="U164" s="380"/>
      <c r="V164" s="380"/>
      <c r="W164" s="198"/>
      <c r="X164" s="198"/>
      <c r="Y164" s="198"/>
      <c r="Z164" s="198"/>
      <c r="AA164" s="380"/>
      <c r="AB164" s="380"/>
      <c r="AC164" s="380"/>
      <c r="AD164" s="198"/>
      <c r="AE164" s="122"/>
      <c r="AF164" s="122"/>
      <c r="AG164" s="122"/>
      <c r="AH164" s="122"/>
      <c r="AI164" s="122"/>
      <c r="AJ164" s="122"/>
      <c r="AK164" s="122"/>
      <c r="AL164" s="122"/>
      <c r="AM164" s="122"/>
      <c r="AN164" s="122"/>
      <c r="AO164" s="122"/>
      <c r="AP164" s="122"/>
      <c r="AQ164" s="122"/>
      <c r="AR164" s="122"/>
      <c r="AS164" s="122"/>
      <c r="AT164" s="122"/>
      <c r="AU164" s="122"/>
      <c r="AV164" s="122"/>
      <c r="AW164" s="122"/>
      <c r="AX164" s="122"/>
      <c r="AY164" s="122"/>
      <c r="AZ164" s="122"/>
    </row>
    <row r="165" spans="1:52" ht="26.25" customHeight="1" x14ac:dyDescent="0.2">
      <c r="A165" s="1278"/>
      <c r="B165" s="1255"/>
      <c r="C165" s="1255"/>
      <c r="D165" s="1255"/>
      <c r="E165" s="1255"/>
      <c r="F165" s="1255"/>
      <c r="G165" s="1255"/>
      <c r="H165" s="1255"/>
      <c r="I165" s="1255"/>
      <c r="J165" s="1255"/>
      <c r="K165" s="1255"/>
      <c r="L165" s="1255"/>
      <c r="M165" s="1255"/>
      <c r="N165" s="1255"/>
      <c r="O165" s="1255"/>
      <c r="P165" s="1255"/>
      <c r="Q165" s="1256"/>
      <c r="R165" s="531" t="s">
        <v>752</v>
      </c>
      <c r="S165" s="380"/>
      <c r="T165" s="389"/>
      <c r="U165" s="380"/>
      <c r="V165" s="380"/>
      <c r="W165" s="198"/>
      <c r="X165" s="349"/>
      <c r="Y165" s="349"/>
      <c r="Z165" s="349"/>
      <c r="AA165" s="380"/>
      <c r="AB165" s="380"/>
      <c r="AC165" s="380"/>
      <c r="AD165" s="198"/>
      <c r="AE165" s="122"/>
      <c r="AF165" s="122"/>
      <c r="AG165" s="122"/>
      <c r="AH165" s="122"/>
      <c r="AI165" s="122"/>
      <c r="AJ165" s="122"/>
      <c r="AK165" s="122"/>
      <c r="AL165" s="122"/>
      <c r="AM165" s="122"/>
      <c r="AN165" s="122"/>
      <c r="AO165" s="122"/>
      <c r="AP165" s="122"/>
      <c r="AQ165" s="122"/>
      <c r="AR165" s="122"/>
      <c r="AS165" s="122"/>
      <c r="AT165" s="122"/>
      <c r="AU165" s="122"/>
      <c r="AV165" s="122"/>
      <c r="AW165" s="122"/>
      <c r="AX165" s="122"/>
      <c r="AY165" s="122"/>
      <c r="AZ165" s="122"/>
    </row>
    <row r="166" spans="1:52" ht="26.25" customHeight="1" x14ac:dyDescent="0.2">
      <c r="A166" s="1279"/>
      <c r="B166" s="1280"/>
      <c r="C166" s="1280"/>
      <c r="D166" s="1280"/>
      <c r="E166" s="1280"/>
      <c r="F166" s="1280"/>
      <c r="G166" s="1280"/>
      <c r="H166" s="1280"/>
      <c r="I166" s="1280"/>
      <c r="J166" s="1280"/>
      <c r="K166" s="1280"/>
      <c r="L166" s="1280"/>
      <c r="M166" s="1280"/>
      <c r="N166" s="1280"/>
      <c r="O166" s="1280"/>
      <c r="P166" s="1280"/>
      <c r="Q166" s="1281"/>
      <c r="R166" s="531" t="s">
        <v>752</v>
      </c>
      <c r="S166" s="380"/>
      <c r="T166" s="389"/>
      <c r="U166" s="380"/>
      <c r="V166" s="380"/>
      <c r="W166" s="198"/>
      <c r="X166" s="198"/>
      <c r="Y166" s="198"/>
      <c r="Z166" s="198"/>
      <c r="AA166" s="380"/>
      <c r="AB166" s="380"/>
      <c r="AC166" s="380"/>
      <c r="AD166" s="198"/>
      <c r="AE166" s="122"/>
      <c r="AF166" s="122"/>
      <c r="AG166" s="122"/>
      <c r="AH166" s="122"/>
      <c r="AI166" s="122"/>
      <c r="AJ166" s="122"/>
      <c r="AK166" s="122"/>
      <c r="AL166" s="122"/>
      <c r="AM166" s="122"/>
      <c r="AN166" s="122"/>
      <c r="AO166" s="122"/>
      <c r="AP166" s="122"/>
      <c r="AQ166" s="122"/>
      <c r="AR166" s="122"/>
      <c r="AS166" s="122"/>
      <c r="AT166" s="122"/>
      <c r="AU166" s="122"/>
      <c r="AV166" s="122"/>
      <c r="AW166" s="122"/>
      <c r="AX166" s="122"/>
      <c r="AY166" s="122"/>
      <c r="AZ166" s="122"/>
    </row>
    <row r="167" spans="1:52" ht="26.25" customHeight="1" x14ac:dyDescent="0.2">
      <c r="A167" s="1282" t="s">
        <v>647</v>
      </c>
      <c r="B167" s="1283"/>
      <c r="C167" s="1283"/>
      <c r="D167" s="1283"/>
      <c r="E167" s="1283"/>
      <c r="F167" s="1283"/>
      <c r="G167" s="1283"/>
      <c r="H167" s="1283"/>
      <c r="I167" s="1283"/>
      <c r="J167" s="1283"/>
      <c r="K167" s="1283"/>
      <c r="L167" s="1283"/>
      <c r="M167" s="1283"/>
      <c r="N167" s="1283"/>
      <c r="O167" s="1283"/>
      <c r="P167" s="1283"/>
      <c r="Q167" s="1284"/>
      <c r="R167" s="531" t="s">
        <v>752</v>
      </c>
      <c r="S167" s="386" t="str">
        <f>IF(ISBLANK(A168),"",A168)</f>
        <v/>
      </c>
      <c r="T167" s="389" t="s">
        <v>584</v>
      </c>
      <c r="U167" s="380"/>
      <c r="V167" s="380"/>
      <c r="W167" s="198"/>
      <c r="X167" s="198"/>
      <c r="Y167" s="198"/>
      <c r="Z167" s="198"/>
      <c r="AA167" s="380"/>
      <c r="AB167" s="380"/>
      <c r="AC167" s="380"/>
      <c r="AD167" s="198"/>
      <c r="AE167" s="122"/>
      <c r="AF167" s="122"/>
      <c r="AG167" s="122"/>
      <c r="AH167" s="122"/>
      <c r="AI167" s="122"/>
      <c r="AJ167" s="122"/>
      <c r="AK167" s="122"/>
      <c r="AL167" s="122"/>
      <c r="AM167" s="122"/>
      <c r="AN167" s="122"/>
      <c r="AO167" s="122"/>
      <c r="AP167" s="122"/>
      <c r="AQ167" s="122"/>
      <c r="AR167" s="122"/>
      <c r="AS167" s="122"/>
      <c r="AT167" s="122"/>
      <c r="AU167" s="122"/>
      <c r="AV167" s="122"/>
      <c r="AW167" s="122"/>
      <c r="AX167" s="122"/>
      <c r="AY167" s="122"/>
      <c r="AZ167" s="122"/>
    </row>
    <row r="168" spans="1:52" ht="26.25" customHeight="1" x14ac:dyDescent="0.2">
      <c r="A168" s="1278"/>
      <c r="B168" s="1255"/>
      <c r="C168" s="1255"/>
      <c r="D168" s="1255"/>
      <c r="E168" s="1255"/>
      <c r="F168" s="1255"/>
      <c r="G168" s="1255"/>
      <c r="H168" s="1255"/>
      <c r="I168" s="1255"/>
      <c r="J168" s="1255"/>
      <c r="K168" s="1255"/>
      <c r="L168" s="1255"/>
      <c r="M168" s="1255"/>
      <c r="N168" s="1255"/>
      <c r="O168" s="1255"/>
      <c r="P168" s="1255"/>
      <c r="Q168" s="1285"/>
      <c r="R168" s="534" t="s">
        <v>752</v>
      </c>
      <c r="U168" s="380"/>
      <c r="V168" s="380"/>
      <c r="W168" s="198"/>
      <c r="X168" s="198"/>
      <c r="Y168" s="198"/>
      <c r="Z168" s="198"/>
      <c r="AA168" s="198"/>
      <c r="AB168" s="198"/>
      <c r="AC168" s="198"/>
      <c r="AD168" s="198"/>
      <c r="AE168" s="122"/>
      <c r="AF168" s="122"/>
      <c r="AG168" s="122"/>
      <c r="AH168" s="122"/>
      <c r="AI168" s="122"/>
      <c r="AJ168" s="122"/>
      <c r="AK168" s="122"/>
      <c r="AL168" s="122"/>
      <c r="AM168" s="122"/>
      <c r="AN168" s="122"/>
      <c r="AO168" s="122"/>
      <c r="AP168" s="122"/>
      <c r="AQ168" s="122"/>
      <c r="AR168" s="122"/>
      <c r="AS168" s="122"/>
      <c r="AT168" s="122"/>
      <c r="AU168" s="122"/>
      <c r="AV168" s="122"/>
      <c r="AW168" s="122"/>
      <c r="AX168" s="122"/>
      <c r="AY168" s="122"/>
      <c r="AZ168" s="122"/>
    </row>
    <row r="169" spans="1:52" ht="26.25" customHeight="1" thickBot="1" x14ac:dyDescent="0.25">
      <c r="A169" s="1257"/>
      <c r="B169" s="1258"/>
      <c r="C169" s="1258"/>
      <c r="D169" s="1258"/>
      <c r="E169" s="1258"/>
      <c r="F169" s="1258"/>
      <c r="G169" s="1258"/>
      <c r="H169" s="1258"/>
      <c r="I169" s="1258"/>
      <c r="J169" s="1258"/>
      <c r="K169" s="1258"/>
      <c r="L169" s="1258"/>
      <c r="M169" s="1258"/>
      <c r="N169" s="1258"/>
      <c r="O169" s="1258"/>
      <c r="P169" s="1258"/>
      <c r="Q169" s="1259"/>
      <c r="R169" s="534" t="s">
        <v>752</v>
      </c>
      <c r="S169" s="380"/>
      <c r="T169" s="380"/>
      <c r="U169" s="380"/>
      <c r="V169" s="380"/>
      <c r="W169" s="349"/>
      <c r="X169" s="349"/>
      <c r="Y169" s="349"/>
      <c r="Z169" s="349"/>
      <c r="AA169" s="378"/>
      <c r="AB169" s="378"/>
      <c r="AC169" s="378"/>
      <c r="AD169" s="198"/>
      <c r="AE169" s="122"/>
      <c r="AF169" s="122"/>
      <c r="AG169" s="122"/>
      <c r="AH169" s="122"/>
      <c r="AI169" s="122"/>
      <c r="AJ169" s="122"/>
      <c r="AK169" s="122"/>
      <c r="AL169" s="122"/>
      <c r="AM169" s="122"/>
      <c r="AN169" s="122"/>
      <c r="AO169" s="122"/>
      <c r="AP169" s="122"/>
      <c r="AQ169" s="122"/>
      <c r="AR169" s="122"/>
      <c r="AS169" s="122"/>
      <c r="AT169" s="122"/>
      <c r="AU169" s="122"/>
      <c r="AV169" s="122"/>
      <c r="AW169" s="122"/>
      <c r="AX169" s="122"/>
      <c r="AY169" s="122"/>
      <c r="AZ169" s="122"/>
    </row>
    <row r="170" spans="1:52" ht="26.25" customHeight="1" x14ac:dyDescent="0.2">
      <c r="A170" s="1251" t="s">
        <v>649</v>
      </c>
      <c r="B170" s="1252"/>
      <c r="C170" s="1252"/>
      <c r="D170" s="1252"/>
      <c r="E170" s="1252"/>
      <c r="F170" s="1252"/>
      <c r="G170" s="1252"/>
      <c r="H170" s="1252"/>
      <c r="I170" s="1252"/>
      <c r="J170" s="1252"/>
      <c r="K170" s="1252"/>
      <c r="L170" s="1252"/>
      <c r="M170" s="1252"/>
      <c r="N170" s="1252"/>
      <c r="O170" s="1252"/>
      <c r="P170" s="1252"/>
      <c r="Q170" s="1253"/>
      <c r="R170" s="531" t="s">
        <v>752</v>
      </c>
      <c r="S170" s="392" t="str">
        <f>IF(ISBLANK(A171),"",A171)</f>
        <v/>
      </c>
      <c r="T170" s="393" t="s">
        <v>650</v>
      </c>
      <c r="W170" s="198"/>
      <c r="X170" s="380"/>
      <c r="Y170" s="380"/>
      <c r="Z170" s="380"/>
      <c r="AA170" s="380"/>
      <c r="AB170" s="380"/>
      <c r="AC170" s="380"/>
      <c r="AD170" s="198"/>
      <c r="AE170" s="122"/>
      <c r="AF170" s="122"/>
      <c r="AG170" s="122"/>
      <c r="AH170" s="122"/>
      <c r="AI170" s="122"/>
      <c r="AJ170" s="122"/>
      <c r="AK170" s="122"/>
      <c r="AL170" s="122"/>
      <c r="AM170" s="122"/>
      <c r="AN170" s="122"/>
      <c r="AO170" s="122"/>
      <c r="AP170" s="122"/>
      <c r="AQ170" s="122"/>
      <c r="AR170" s="122"/>
      <c r="AS170" s="122"/>
      <c r="AT170" s="122"/>
      <c r="AU170" s="122"/>
      <c r="AV170" s="122"/>
      <c r="AW170" s="122"/>
      <c r="AX170" s="122"/>
      <c r="AY170" s="122"/>
      <c r="AZ170" s="122"/>
    </row>
    <row r="171" spans="1:52" ht="26.25" customHeight="1" x14ac:dyDescent="0.2">
      <c r="A171" s="1278"/>
      <c r="B171" s="1255"/>
      <c r="C171" s="1255"/>
      <c r="D171" s="1255"/>
      <c r="E171" s="1255"/>
      <c r="F171" s="1255"/>
      <c r="G171" s="1255"/>
      <c r="H171" s="1255"/>
      <c r="I171" s="1255"/>
      <c r="J171" s="1255"/>
      <c r="K171" s="1255"/>
      <c r="L171" s="1255"/>
      <c r="M171" s="1255"/>
      <c r="N171" s="1255"/>
      <c r="O171" s="1255"/>
      <c r="P171" s="1255"/>
      <c r="Q171" s="1256"/>
      <c r="R171" s="531" t="s">
        <v>752</v>
      </c>
      <c r="W171" s="198"/>
      <c r="X171" s="380"/>
      <c r="Y171" s="380"/>
      <c r="Z171" s="380"/>
      <c r="AA171" s="380"/>
      <c r="AB171" s="380"/>
      <c r="AC171" s="380"/>
      <c r="AD171" s="198"/>
      <c r="AE171" s="122"/>
      <c r="AF171" s="122"/>
      <c r="AG171" s="122"/>
      <c r="AH171" s="122"/>
      <c r="AI171" s="122"/>
      <c r="AJ171" s="122"/>
      <c r="AK171" s="122"/>
      <c r="AL171" s="122"/>
      <c r="AM171" s="122"/>
      <c r="AN171" s="122"/>
      <c r="AO171" s="122"/>
      <c r="AP171" s="122"/>
      <c r="AQ171" s="122"/>
      <c r="AR171" s="122"/>
      <c r="AS171" s="122"/>
      <c r="AT171" s="122"/>
      <c r="AU171" s="122"/>
      <c r="AV171" s="122"/>
      <c r="AW171" s="122"/>
      <c r="AX171" s="122"/>
      <c r="AY171" s="122"/>
      <c r="AZ171" s="122"/>
    </row>
    <row r="172" spans="1:52" ht="26.25" customHeight="1" thickBot="1" x14ac:dyDescent="0.25">
      <c r="A172" s="1257"/>
      <c r="B172" s="1258"/>
      <c r="C172" s="1258"/>
      <c r="D172" s="1258"/>
      <c r="E172" s="1258"/>
      <c r="F172" s="1258"/>
      <c r="G172" s="1258"/>
      <c r="H172" s="1258"/>
      <c r="I172" s="1258"/>
      <c r="J172" s="1258"/>
      <c r="K172" s="1258"/>
      <c r="L172" s="1258"/>
      <c r="M172" s="1258"/>
      <c r="N172" s="1258"/>
      <c r="O172" s="1258"/>
      <c r="P172" s="1258"/>
      <c r="Q172" s="1259"/>
      <c r="R172" s="531" t="s">
        <v>752</v>
      </c>
      <c r="S172" s="352"/>
      <c r="T172" s="352"/>
      <c r="U172" s="352"/>
      <c r="V172" s="352"/>
      <c r="W172" s="198"/>
      <c r="X172" s="380"/>
      <c r="Y172" s="380"/>
      <c r="Z172" s="380"/>
      <c r="AA172" s="380"/>
      <c r="AB172" s="380"/>
      <c r="AC172" s="380"/>
      <c r="AD172" s="198"/>
      <c r="AE172" s="122"/>
      <c r="AF172" s="122"/>
      <c r="AG172" s="122"/>
      <c r="AH172" s="122"/>
      <c r="AI172" s="122"/>
      <c r="AJ172" s="122"/>
      <c r="AK172" s="122"/>
      <c r="AL172" s="122"/>
      <c r="AM172" s="122"/>
      <c r="AN172" s="122"/>
      <c r="AO172" s="122"/>
      <c r="AP172" s="122"/>
      <c r="AQ172" s="122"/>
      <c r="AR172" s="122"/>
      <c r="AS172" s="122"/>
      <c r="AT172" s="122"/>
      <c r="AU172" s="122"/>
      <c r="AV172" s="122"/>
      <c r="AW172" s="122"/>
      <c r="AX172" s="122"/>
      <c r="AY172" s="122"/>
      <c r="AZ172" s="122"/>
    </row>
    <row r="173" spans="1:52" ht="26.25" customHeight="1" x14ac:dyDescent="0.2">
      <c r="A173" s="1260" t="s">
        <v>651</v>
      </c>
      <c r="B173" s="1261"/>
      <c r="C173" s="1261"/>
      <c r="D173" s="1261"/>
      <c r="E173" s="1261"/>
      <c r="F173" s="1261"/>
      <c r="G173" s="1261"/>
      <c r="H173" s="1261"/>
      <c r="I173" s="1261"/>
      <c r="J173" s="1261"/>
      <c r="K173" s="1261"/>
      <c r="L173" s="1261"/>
      <c r="M173" s="1261"/>
      <c r="N173" s="1261"/>
      <c r="O173" s="1261"/>
      <c r="P173" s="1261"/>
      <c r="Q173" s="1262"/>
      <c r="R173" s="531" t="s">
        <v>752</v>
      </c>
      <c r="S173" s="395"/>
      <c r="T173" s="396"/>
      <c r="U173" s="390"/>
      <c r="V173" s="390"/>
      <c r="W173" s="349"/>
      <c r="X173" s="380"/>
      <c r="Y173" s="380"/>
      <c r="Z173" s="380"/>
      <c r="AA173" s="380"/>
      <c r="AB173" s="380"/>
      <c r="AC173" s="380"/>
      <c r="AD173" s="198"/>
      <c r="AE173" s="122"/>
      <c r="AF173" s="122"/>
      <c r="AG173" s="122"/>
      <c r="AH173" s="122"/>
      <c r="AI173" s="122"/>
      <c r="AJ173" s="122"/>
      <c r="AK173" s="122"/>
      <c r="AL173" s="122"/>
      <c r="AM173" s="122"/>
      <c r="AN173" s="122"/>
      <c r="AO173" s="122"/>
      <c r="AP173" s="122"/>
      <c r="AQ173" s="122"/>
      <c r="AR173" s="122"/>
      <c r="AS173" s="122"/>
      <c r="AT173" s="122"/>
      <c r="AU173" s="122"/>
      <c r="AV173" s="122"/>
      <c r="AW173" s="122"/>
      <c r="AX173" s="122"/>
      <c r="AY173" s="122"/>
      <c r="AZ173" s="122"/>
    </row>
    <row r="174" spans="1:52" ht="26.25" customHeight="1" x14ac:dyDescent="0.2">
      <c r="A174" s="1263"/>
      <c r="B174" s="1264"/>
      <c r="C174" s="1264"/>
      <c r="D174" s="1264"/>
      <c r="E174" s="1264"/>
      <c r="F174" s="1264"/>
      <c r="G174" s="1264"/>
      <c r="H174" s="1264"/>
      <c r="I174" s="1264"/>
      <c r="J174" s="1264"/>
      <c r="K174" s="1264"/>
      <c r="L174" s="1264"/>
      <c r="M174" s="1264"/>
      <c r="N174" s="1264"/>
      <c r="O174" s="1264"/>
      <c r="P174" s="1264"/>
      <c r="Q174" s="1265"/>
      <c r="R174" s="531" t="s">
        <v>752</v>
      </c>
      <c r="S174" s="397" t="str">
        <f>IF(ISBLANK(A174),"",CONCATENATE(S173,A174))</f>
        <v/>
      </c>
      <c r="T174" s="354" t="s">
        <v>195</v>
      </c>
      <c r="U174" s="183"/>
      <c r="V174" s="183"/>
      <c r="W174" s="380"/>
      <c r="X174" s="380"/>
      <c r="Y174" s="380"/>
      <c r="Z174" s="380"/>
      <c r="AA174" s="380"/>
      <c r="AB174" s="380"/>
      <c r="AC174" s="380"/>
      <c r="AD174" s="198"/>
      <c r="AE174" s="122"/>
      <c r="AF174" s="122"/>
      <c r="AG174" s="122"/>
      <c r="AH174" s="122"/>
      <c r="AI174" s="122"/>
      <c r="AJ174" s="122"/>
      <c r="AK174" s="122"/>
      <c r="AL174" s="122"/>
      <c r="AM174" s="122"/>
      <c r="AN174" s="122"/>
      <c r="AO174" s="122"/>
      <c r="AP174" s="122"/>
      <c r="AQ174" s="122"/>
      <c r="AR174" s="122"/>
      <c r="AS174" s="122"/>
      <c r="AT174" s="122"/>
      <c r="AU174" s="122"/>
      <c r="AV174" s="122"/>
      <c r="AW174" s="122"/>
      <c r="AX174" s="122"/>
      <c r="AY174" s="122"/>
      <c r="AZ174" s="122"/>
    </row>
    <row r="175" spans="1:52" ht="26.25" customHeight="1" thickBot="1" x14ac:dyDescent="0.25">
      <c r="A175" s="1266"/>
      <c r="B175" s="1267"/>
      <c r="C175" s="1267"/>
      <c r="D175" s="1267"/>
      <c r="E175" s="1267"/>
      <c r="F175" s="1267"/>
      <c r="G175" s="1267"/>
      <c r="H175" s="1267"/>
      <c r="I175" s="1267"/>
      <c r="J175" s="1267"/>
      <c r="K175" s="1267"/>
      <c r="L175" s="1267"/>
      <c r="M175" s="1267"/>
      <c r="N175" s="1267"/>
      <c r="O175" s="1267"/>
      <c r="P175" s="1267"/>
      <c r="Q175" s="1268"/>
      <c r="R175" s="531" t="s">
        <v>752</v>
      </c>
      <c r="S175" s="198"/>
      <c r="T175" s="198"/>
      <c r="U175" s="198"/>
      <c r="V175" s="198"/>
      <c r="W175" s="380"/>
      <c r="X175" s="380"/>
      <c r="Y175" s="380"/>
      <c r="Z175" s="380"/>
      <c r="AA175" s="380"/>
      <c r="AB175" s="380"/>
      <c r="AC175" s="380"/>
      <c r="AD175" s="198"/>
      <c r="AE175" s="122"/>
      <c r="AF175" s="122"/>
      <c r="AG175" s="122"/>
      <c r="AH175" s="122"/>
      <c r="AI175" s="122"/>
      <c r="AJ175" s="122"/>
      <c r="AK175" s="122"/>
      <c r="AL175" s="122"/>
      <c r="AM175" s="122"/>
      <c r="AN175" s="122"/>
      <c r="AO175" s="122"/>
      <c r="AP175" s="122"/>
      <c r="AQ175" s="122"/>
      <c r="AR175" s="122"/>
      <c r="AS175" s="122"/>
      <c r="AT175" s="122"/>
      <c r="AU175" s="122"/>
      <c r="AV175" s="122"/>
      <c r="AW175" s="122"/>
      <c r="AX175" s="122"/>
      <c r="AY175" s="122"/>
      <c r="AZ175" s="122"/>
    </row>
    <row r="176" spans="1:52" ht="26.25" customHeight="1" thickBot="1" x14ac:dyDescent="0.25">
      <c r="A176" s="1369" t="e">
        <f>$A$1</f>
        <v>#N/A</v>
      </c>
      <c r="B176" s="1369"/>
      <c r="C176" s="1369"/>
      <c r="D176" s="1369"/>
      <c r="E176" s="1369"/>
      <c r="F176" s="1369"/>
      <c r="G176" s="1369"/>
      <c r="H176" s="1369"/>
      <c r="I176" s="1369"/>
      <c r="J176" s="1369"/>
      <c r="K176" s="1369"/>
      <c r="L176" s="1369"/>
      <c r="M176" s="1369"/>
      <c r="N176" s="1369"/>
      <c r="O176" s="1369"/>
      <c r="P176" s="1369"/>
      <c r="Q176" s="1369"/>
      <c r="R176" s="531" t="s">
        <v>752</v>
      </c>
      <c r="S176" s="388"/>
      <c r="T176" s="388"/>
      <c r="U176" s="388"/>
      <c r="V176" s="388"/>
      <c r="W176" s="380"/>
      <c r="X176" s="380"/>
      <c r="Y176" s="380"/>
      <c r="Z176" s="380"/>
      <c r="AA176" s="380"/>
      <c r="AB176" s="380"/>
      <c r="AC176" s="380"/>
      <c r="AD176" s="198"/>
      <c r="AE176" s="122"/>
      <c r="AF176" s="122"/>
      <c r="AG176" s="122"/>
      <c r="AH176" s="122"/>
      <c r="AI176" s="122"/>
      <c r="AJ176" s="122"/>
      <c r="AK176" s="122"/>
      <c r="AL176" s="122"/>
      <c r="AM176" s="122"/>
      <c r="AN176" s="122"/>
      <c r="AO176" s="122"/>
      <c r="AP176" s="122"/>
      <c r="AQ176" s="122"/>
      <c r="AR176" s="122"/>
      <c r="AS176" s="122"/>
      <c r="AT176" s="122"/>
      <c r="AU176" s="122"/>
      <c r="AV176" s="122"/>
      <c r="AW176" s="122"/>
      <c r="AX176" s="122"/>
      <c r="AY176" s="122"/>
      <c r="AZ176" s="122"/>
    </row>
    <row r="177" spans="1:52" ht="26.25" customHeight="1" thickBot="1" x14ac:dyDescent="0.25">
      <c r="A177" s="1364" t="s">
        <v>201</v>
      </c>
      <c r="B177" s="1365"/>
      <c r="C177" s="1365"/>
      <c r="D177" s="1365"/>
      <c r="E177" s="1365"/>
      <c r="F177" s="1365"/>
      <c r="G177" s="1365"/>
      <c r="H177" s="1365"/>
      <c r="I177" s="1365"/>
      <c r="J177" s="1365"/>
      <c r="K177" s="1365"/>
      <c r="L177" s="1365"/>
      <c r="M177" s="1365"/>
      <c r="N177" s="1366" t="str">
        <f>$N$5</f>
        <v>2024 Report Year</v>
      </c>
      <c r="O177" s="1367"/>
      <c r="P177" s="1367"/>
      <c r="Q177" s="1368"/>
      <c r="R177" s="534" t="s">
        <v>752</v>
      </c>
      <c r="S177" s="394"/>
      <c r="T177" s="394"/>
      <c r="U177" s="394"/>
      <c r="V177" s="394"/>
      <c r="W177" s="380"/>
      <c r="X177" s="380"/>
      <c r="Y177" s="380"/>
      <c r="Z177" s="380"/>
      <c r="AA177" s="380"/>
      <c r="AB177" s="380"/>
      <c r="AC177" s="380"/>
      <c r="AD177" s="198"/>
      <c r="AE177" s="122"/>
      <c r="AF177" s="122"/>
      <c r="AG177" s="122"/>
      <c r="AH177" s="122"/>
      <c r="AI177" s="122"/>
      <c r="AJ177" s="122"/>
      <c r="AK177" s="122"/>
      <c r="AL177" s="122"/>
      <c r="AM177" s="122"/>
      <c r="AN177" s="122"/>
      <c r="AO177" s="122"/>
      <c r="AP177" s="122"/>
      <c r="AQ177" s="122"/>
      <c r="AR177" s="122"/>
      <c r="AS177" s="122"/>
      <c r="AT177" s="122"/>
      <c r="AU177" s="122"/>
      <c r="AV177" s="122"/>
      <c r="AW177" s="122"/>
      <c r="AX177" s="122"/>
      <c r="AY177" s="122"/>
      <c r="AZ177" s="122"/>
    </row>
    <row r="178" spans="1:52" ht="26.25" customHeight="1" x14ac:dyDescent="0.2">
      <c r="A178" s="1351" t="str">
        <f>IF(AND(OR(ISNA(cap_exp_contact),TRIM(cap_exp_contact)=""),NOT(ISBLANK(code_7594))),"The Capital Expenditure Contact information has NOT been provided.  Please complete this information now.","")</f>
        <v/>
      </c>
      <c r="B178" s="1352"/>
      <c r="C178" s="1352"/>
      <c r="D178" s="1352"/>
      <c r="E178" s="1352"/>
      <c r="F178" s="1352"/>
      <c r="G178" s="1352"/>
      <c r="H178" s="1352"/>
      <c r="I178" s="1352"/>
      <c r="J178" s="1352"/>
      <c r="K178" s="1352"/>
      <c r="L178" s="1352"/>
      <c r="M178" s="1352"/>
      <c r="N178" s="343" t="s">
        <v>602</v>
      </c>
      <c r="O178" s="344" t="e">
        <f>$O$6</f>
        <v>#N/A</v>
      </c>
      <c r="P178" s="345" t="s">
        <v>603</v>
      </c>
      <c r="Q178" s="346" t="e">
        <f>IF(ISBLANK(Q135),"",Q135+1)</f>
        <v>#VALUE!</v>
      </c>
      <c r="R178" s="534" t="s">
        <v>752</v>
      </c>
      <c r="S178" s="198"/>
      <c r="T178" s="198"/>
      <c r="U178" s="198"/>
      <c r="V178" s="198"/>
      <c r="W178" s="380"/>
      <c r="X178" s="380"/>
      <c r="Y178" s="380"/>
      <c r="Z178" s="380"/>
      <c r="AA178" s="380"/>
      <c r="AB178" s="380"/>
      <c r="AC178" s="380"/>
      <c r="AD178" s="198"/>
      <c r="AE178" s="122"/>
      <c r="AF178" s="122"/>
      <c r="AG178" s="122"/>
      <c r="AH178" s="122"/>
      <c r="AI178" s="122"/>
      <c r="AJ178" s="122"/>
      <c r="AK178" s="122"/>
      <c r="AL178" s="122"/>
      <c r="AM178" s="122"/>
      <c r="AN178" s="122"/>
      <c r="AO178" s="122"/>
      <c r="AP178" s="122"/>
      <c r="AQ178" s="122"/>
      <c r="AR178" s="122"/>
      <c r="AS178" s="122"/>
      <c r="AT178" s="122"/>
      <c r="AU178" s="122"/>
      <c r="AV178" s="122"/>
      <c r="AW178" s="122"/>
      <c r="AX178" s="122"/>
      <c r="AY178" s="122"/>
      <c r="AZ178" s="122"/>
    </row>
    <row r="179" spans="1:52" ht="26.25" customHeight="1" thickBot="1" x14ac:dyDescent="0.25">
      <c r="A179" s="1353" t="s">
        <v>197</v>
      </c>
      <c r="B179" s="1354"/>
      <c r="C179" s="1354"/>
      <c r="D179" s="1354"/>
      <c r="E179" s="1355"/>
      <c r="F179" s="1356"/>
      <c r="G179" s="1356"/>
      <c r="H179" s="1356"/>
      <c r="I179" s="1356"/>
      <c r="J179" s="1356"/>
      <c r="K179" s="1356"/>
      <c r="L179" s="1357"/>
      <c r="M179" s="550" t="s">
        <v>752</v>
      </c>
      <c r="N179" s="1358" t="s">
        <v>604</v>
      </c>
      <c r="O179" s="1359"/>
      <c r="P179" s="1359"/>
      <c r="Q179" s="1360"/>
      <c r="R179" s="531" t="s">
        <v>752</v>
      </c>
      <c r="S179" s="348" t="str">
        <f>IF(ISBLANK(E179),"",E179)</f>
        <v/>
      </c>
      <c r="T179" s="143" t="s">
        <v>495</v>
      </c>
      <c r="U179" s="280"/>
      <c r="V179" s="280"/>
      <c r="W179" s="380"/>
      <c r="X179" s="198"/>
      <c r="Y179" s="198"/>
      <c r="Z179" s="198"/>
      <c r="AA179" s="388"/>
      <c r="AB179" s="388"/>
      <c r="AC179" s="388"/>
      <c r="AD179" s="198"/>
      <c r="AE179" s="122"/>
      <c r="AF179" s="122"/>
      <c r="AG179" s="122"/>
      <c r="AH179" s="122"/>
      <c r="AI179" s="122"/>
      <c r="AJ179" s="122"/>
      <c r="AK179" s="122"/>
      <c r="AL179" s="122"/>
      <c r="AM179" s="122"/>
      <c r="AN179" s="122"/>
      <c r="AO179" s="122"/>
      <c r="AP179" s="122"/>
      <c r="AQ179" s="122"/>
      <c r="AR179" s="122"/>
      <c r="AS179" s="122"/>
      <c r="AT179" s="122"/>
      <c r="AU179" s="122"/>
      <c r="AV179" s="122"/>
      <c r="AW179" s="122"/>
      <c r="AX179" s="122"/>
      <c r="AY179" s="122"/>
      <c r="AZ179" s="122"/>
    </row>
    <row r="180" spans="1:52" ht="26.25" customHeight="1" x14ac:dyDescent="0.2">
      <c r="A180" s="1361" t="s">
        <v>605</v>
      </c>
      <c r="B180" s="1362"/>
      <c r="C180" s="1362"/>
      <c r="D180" s="1363"/>
      <c r="E180" s="1339"/>
      <c r="F180" s="1340"/>
      <c r="G180" s="1340"/>
      <c r="H180" s="1340"/>
      <c r="I180" s="1340"/>
      <c r="J180" s="1340"/>
      <c r="K180" s="1340"/>
      <c r="L180" s="1341"/>
      <c r="M180" s="1342" t="str">
        <f>IF(AND(ISBLANK(E180),OR(NOT(ISBLANK(E181)),NOT(ISBLANK(E182)),NOT(ISBLANK(E183)),NOT(ISBLANK(I184)),NOT(ISBLANK(A186)))),"This information is required.","")</f>
        <v/>
      </c>
      <c r="N180" s="1343"/>
      <c r="O180" s="1343"/>
      <c r="P180" s="1343"/>
      <c r="Q180" s="551" t="s">
        <v>752</v>
      </c>
      <c r="R180" s="531" t="s">
        <v>752</v>
      </c>
      <c r="S180" s="348" t="str">
        <f>IF(ISBLANK(E180),"",E180)</f>
        <v/>
      </c>
      <c r="T180" s="143" t="s">
        <v>185</v>
      </c>
      <c r="U180" s="280"/>
      <c r="V180" s="280"/>
      <c r="W180" s="380"/>
      <c r="X180" s="378"/>
      <c r="Y180" s="378"/>
      <c r="Z180" s="378"/>
      <c r="AA180" s="394"/>
      <c r="AB180" s="394"/>
      <c r="AC180" s="394"/>
      <c r="AD180" s="198"/>
      <c r="AE180" s="122"/>
      <c r="AF180" s="122"/>
      <c r="AG180" s="122"/>
      <c r="AH180" s="122"/>
      <c r="AI180" s="122"/>
      <c r="AJ180" s="122"/>
      <c r="AK180" s="122"/>
      <c r="AL180" s="122"/>
      <c r="AM180" s="122"/>
      <c r="AN180" s="122"/>
      <c r="AO180" s="122"/>
      <c r="AP180" s="122"/>
      <c r="AQ180" s="122"/>
      <c r="AR180" s="122"/>
      <c r="AS180" s="122"/>
      <c r="AT180" s="122"/>
      <c r="AU180" s="122"/>
      <c r="AV180" s="122"/>
      <c r="AW180" s="122"/>
      <c r="AX180" s="122"/>
      <c r="AY180" s="122"/>
      <c r="AZ180" s="122"/>
    </row>
    <row r="181" spans="1:52" ht="26.25" customHeight="1" x14ac:dyDescent="0.2">
      <c r="A181" s="1325" t="s">
        <v>606</v>
      </c>
      <c r="B181" s="1326"/>
      <c r="C181" s="1326"/>
      <c r="D181" s="1327"/>
      <c r="E181" s="1339"/>
      <c r="F181" s="1340"/>
      <c r="G181" s="1340"/>
      <c r="H181" s="1340"/>
      <c r="I181" s="1340"/>
      <c r="J181" s="1340"/>
      <c r="K181" s="1340"/>
      <c r="L181" s="1341"/>
      <c r="M181" s="1342" t="str">
        <f>IF(AND(ISBLANK(E181),OR(NOT(ISBLANK(E180)),NOT(ISBLANK(E182)),NOT(ISBLANK(E183)),NOT(ISBLANK(I184)),NOT(ISBLANK(A186)))),"This information is required.","")</f>
        <v/>
      </c>
      <c r="N181" s="1343"/>
      <c r="O181" s="1343"/>
      <c r="P181" s="1343"/>
      <c r="Q181" s="551" t="s">
        <v>752</v>
      </c>
      <c r="R181" s="531" t="s">
        <v>752</v>
      </c>
      <c r="S181" s="348" t="str">
        <f>IF(ISBLANK(E181),"",E181)</f>
        <v/>
      </c>
      <c r="T181" s="143" t="s">
        <v>186</v>
      </c>
      <c r="U181" s="280"/>
      <c r="V181" s="280"/>
      <c r="W181" s="380"/>
      <c r="X181" s="380"/>
      <c r="Y181" s="380"/>
      <c r="Z181" s="380"/>
      <c r="AA181" s="198"/>
      <c r="AB181" s="198"/>
      <c r="AC181" s="198"/>
      <c r="AD181" s="198"/>
      <c r="AE181" s="122"/>
      <c r="AF181" s="122"/>
      <c r="AG181" s="122"/>
      <c r="AH181" s="122"/>
      <c r="AI181" s="122"/>
      <c r="AJ181" s="122"/>
      <c r="AK181" s="122"/>
      <c r="AL181" s="124"/>
      <c r="AM181" s="122"/>
      <c r="AN181" s="122"/>
      <c r="AO181" s="122"/>
      <c r="AP181" s="122"/>
      <c r="AQ181" s="122"/>
      <c r="AR181" s="122"/>
      <c r="AS181" s="122"/>
      <c r="AT181" s="122"/>
      <c r="AU181" s="122"/>
      <c r="AV181" s="122"/>
      <c r="AW181" s="122"/>
      <c r="AX181" s="122"/>
      <c r="AY181" s="122"/>
      <c r="AZ181" s="122"/>
    </row>
    <row r="182" spans="1:52" ht="26.25" customHeight="1" x14ac:dyDescent="0.2">
      <c r="A182" s="1344" t="s">
        <v>607</v>
      </c>
      <c r="B182" s="1345"/>
      <c r="C182" s="1345"/>
      <c r="D182" s="1346"/>
      <c r="E182" s="1347"/>
      <c r="F182" s="1348"/>
      <c r="G182" s="1349" t="s">
        <v>608</v>
      </c>
      <c r="H182" s="1349"/>
      <c r="I182" s="1349"/>
      <c r="J182" s="1349"/>
      <c r="K182" s="1349"/>
      <c r="L182" s="1349"/>
      <c r="M182" s="1350" t="str">
        <f>IF(AND(ISBLANK(E182),OR(NOT(ISBLANK(E180)),NOT(ISBLANK(E181)),NOT(ISBLANK(E183)),NOT(ISBLANK(I184)),NOT(ISBLANK(A186)))),"This information is required.","")</f>
        <v/>
      </c>
      <c r="N182" s="1202"/>
      <c r="O182" s="1202"/>
      <c r="P182" s="1202"/>
      <c r="Q182" s="532" t="s">
        <v>752</v>
      </c>
      <c r="R182" s="531" t="s">
        <v>752</v>
      </c>
      <c r="S182" s="350" t="str">
        <f>IF(ISBLANK(E182),"",E182)</f>
        <v/>
      </c>
      <c r="T182" s="351" t="s">
        <v>188</v>
      </c>
      <c r="U182" s="349"/>
      <c r="V182" s="349"/>
      <c r="W182" s="380"/>
      <c r="X182" s="380"/>
      <c r="Y182" s="380"/>
      <c r="Z182" s="380"/>
      <c r="AA182" s="198"/>
      <c r="AB182" s="198"/>
      <c r="AC182" s="198"/>
      <c r="AD182" s="198"/>
      <c r="AE182" s="122"/>
      <c r="AF182" s="122"/>
      <c r="AG182" s="122"/>
      <c r="AH182" s="122"/>
      <c r="AI182" s="122"/>
      <c r="AJ182" s="122"/>
      <c r="AK182" s="122"/>
      <c r="AL182" s="124"/>
      <c r="AM182" s="122"/>
      <c r="AN182" s="122"/>
      <c r="AO182" s="122"/>
      <c r="AP182" s="122"/>
      <c r="AQ182" s="122"/>
      <c r="AR182" s="122"/>
      <c r="AS182" s="122"/>
      <c r="AT182" s="122"/>
      <c r="AU182" s="122"/>
      <c r="AV182" s="122"/>
      <c r="AW182" s="122"/>
      <c r="AX182" s="122"/>
      <c r="AY182" s="122"/>
      <c r="AZ182" s="122"/>
    </row>
    <row r="183" spans="1:52" ht="26.25" customHeight="1" x14ac:dyDescent="0.2">
      <c r="A183" s="1325" t="s">
        <v>609</v>
      </c>
      <c r="B183" s="1326"/>
      <c r="C183" s="1326"/>
      <c r="D183" s="1327"/>
      <c r="E183" s="1328"/>
      <c r="F183" s="1329"/>
      <c r="G183" s="1337" t="s">
        <v>752</v>
      </c>
      <c r="H183" s="1338"/>
      <c r="I183" s="1338"/>
      <c r="J183" s="1338"/>
      <c r="K183" s="1338"/>
      <c r="L183" s="1338"/>
      <c r="M183" s="1202" t="str">
        <f>IF(AND(ISBLANK(E183),OR(NOT(ISBLANK(E180)),NOT(ISBLANK(E181)),NOT(ISBLANK(E182)),NOT(ISBLANK(I184)),NOT(ISBLANK(A186)))),"This information is required.","")</f>
        <v/>
      </c>
      <c r="N183" s="1202"/>
      <c r="O183" s="1202"/>
      <c r="P183" s="1202"/>
      <c r="Q183" s="532" t="s">
        <v>752</v>
      </c>
      <c r="R183" s="531" t="s">
        <v>752</v>
      </c>
      <c r="S183" s="353" t="str">
        <f>IF(ISBLANK(E183),"",E183)</f>
        <v/>
      </c>
      <c r="T183" s="354" t="s">
        <v>189</v>
      </c>
      <c r="U183" s="318"/>
      <c r="V183" s="318"/>
      <c r="W183" s="198"/>
      <c r="X183" s="380"/>
      <c r="Y183" s="380"/>
      <c r="Z183" s="380"/>
      <c r="AA183" s="198"/>
      <c r="AB183" s="198"/>
      <c r="AC183" s="198"/>
      <c r="AD183" s="198"/>
      <c r="AE183" s="122"/>
      <c r="AF183" s="122"/>
      <c r="AG183" s="122"/>
      <c r="AH183" s="122"/>
      <c r="AI183" s="122"/>
      <c r="AJ183" s="122"/>
      <c r="AK183" s="122"/>
      <c r="AL183" s="124"/>
      <c r="AM183" s="122"/>
      <c r="AN183" s="122"/>
      <c r="AO183" s="122"/>
      <c r="AP183" s="122"/>
      <c r="AQ183" s="122"/>
      <c r="AR183" s="122"/>
      <c r="AS183" s="122"/>
      <c r="AT183" s="122"/>
      <c r="AU183" s="122"/>
      <c r="AV183" s="122"/>
      <c r="AW183" s="122"/>
      <c r="AX183" s="122"/>
      <c r="AY183" s="122"/>
      <c r="AZ183" s="122"/>
    </row>
    <row r="184" spans="1:52" ht="26.25" customHeight="1" thickBot="1" x14ac:dyDescent="0.25">
      <c r="A184" s="1330" t="s">
        <v>610</v>
      </c>
      <c r="B184" s="1331"/>
      <c r="C184" s="1331"/>
      <c r="D184" s="1331"/>
      <c r="E184" s="1332"/>
      <c r="F184" s="1332"/>
      <c r="G184" s="1332"/>
      <c r="H184" s="1332"/>
      <c r="I184" s="1333"/>
      <c r="J184" s="1333"/>
      <c r="K184" s="1334" t="s">
        <v>611</v>
      </c>
      <c r="L184" s="1335"/>
      <c r="M184" s="1336" t="str">
        <f>IF(AND(ISBLANK(I184),OR(NOT(ISBLANK(E180)),NOT(ISBLANK(E181)),NOT(ISBLANK(E182)),NOT(ISBLANK(E183)),NOT(ISBLANK(A186)))),"This information is required!","")</f>
        <v/>
      </c>
      <c r="N184" s="1336"/>
      <c r="O184" s="1336"/>
      <c r="P184" s="1336"/>
      <c r="Q184" s="553" t="s">
        <v>752</v>
      </c>
      <c r="R184" s="531" t="s">
        <v>752</v>
      </c>
      <c r="S184" s="353" t="str">
        <f>IF(ISBLANK(I184),"",I184)</f>
        <v/>
      </c>
      <c r="T184" s="354" t="s">
        <v>190</v>
      </c>
      <c r="U184" s="355"/>
      <c r="V184" s="355"/>
      <c r="W184" s="378"/>
      <c r="X184" s="380"/>
      <c r="Y184" s="380"/>
      <c r="Z184" s="380"/>
      <c r="AA184" s="198"/>
      <c r="AB184" s="198"/>
      <c r="AC184" s="198"/>
      <c r="AD184" s="198"/>
      <c r="AE184" s="122"/>
      <c r="AF184" s="122"/>
      <c r="AG184" s="122"/>
      <c r="AH184" s="122"/>
      <c r="AI184" s="122"/>
      <c r="AJ184" s="122"/>
      <c r="AK184" s="122"/>
      <c r="AL184" s="124"/>
      <c r="AM184" s="122"/>
      <c r="AN184" s="122"/>
      <c r="AO184" s="122"/>
      <c r="AP184" s="122"/>
      <c r="AQ184" s="122"/>
      <c r="AR184" s="122"/>
      <c r="AS184" s="122"/>
      <c r="AT184" s="122"/>
      <c r="AU184" s="122"/>
      <c r="AV184" s="122"/>
      <c r="AW184" s="122"/>
      <c r="AX184" s="122"/>
      <c r="AY184" s="280"/>
      <c r="AZ184" s="280"/>
    </row>
    <row r="185" spans="1:52" ht="26.25" customHeight="1" x14ac:dyDescent="0.2">
      <c r="A185" s="1251" t="s">
        <v>613</v>
      </c>
      <c r="B185" s="1252"/>
      <c r="C185" s="1252"/>
      <c r="D185" s="1252"/>
      <c r="E185" s="1252"/>
      <c r="F185" s="1252"/>
      <c r="G185" s="1252"/>
      <c r="H185" s="1252"/>
      <c r="I185" s="1252"/>
      <c r="J185" s="1317"/>
      <c r="K185" s="1318" t="s">
        <v>679</v>
      </c>
      <c r="L185" s="1318"/>
      <c r="M185" s="1318"/>
      <c r="N185" s="1318"/>
      <c r="O185" s="1320" t="s">
        <v>614</v>
      </c>
      <c r="P185" s="1320"/>
      <c r="Q185" s="1321"/>
      <c r="R185" s="531" t="s">
        <v>752</v>
      </c>
      <c r="S185" s="353" t="str">
        <f>IF(ISBLANK(A186),"",A186)</f>
        <v/>
      </c>
      <c r="T185" s="354" t="s">
        <v>191</v>
      </c>
      <c r="U185" s="357"/>
      <c r="V185" s="357"/>
      <c r="W185" s="380"/>
      <c r="X185" s="380"/>
      <c r="Y185" s="380"/>
      <c r="Z185" s="380"/>
      <c r="AA185" s="198"/>
      <c r="AB185" s="198"/>
      <c r="AC185" s="198"/>
      <c r="AD185" s="198"/>
      <c r="AE185" s="122"/>
      <c r="AF185" s="122"/>
      <c r="AG185" s="122"/>
      <c r="AH185" s="122"/>
      <c r="AI185" s="122"/>
      <c r="AJ185" s="122"/>
      <c r="AK185" s="122"/>
      <c r="AL185" s="124"/>
      <c r="AM185" s="122"/>
      <c r="AN185" s="122"/>
      <c r="AO185" s="122"/>
      <c r="AP185" s="122"/>
      <c r="AQ185" s="122"/>
      <c r="AR185" s="122"/>
      <c r="AS185" s="122"/>
      <c r="AT185" s="122"/>
      <c r="AU185" s="122"/>
      <c r="AV185" s="122"/>
      <c r="AW185" s="122"/>
      <c r="AX185" s="122"/>
      <c r="AY185" s="280"/>
      <c r="AZ185" s="280"/>
    </row>
    <row r="186" spans="1:52" ht="26.25" customHeight="1" x14ac:dyDescent="0.2">
      <c r="A186" s="1263"/>
      <c r="B186" s="1264"/>
      <c r="C186" s="1264"/>
      <c r="D186" s="1264"/>
      <c r="E186" s="1264"/>
      <c r="F186" s="1264"/>
      <c r="G186" s="1264"/>
      <c r="H186" s="1264"/>
      <c r="I186" s="1264"/>
      <c r="J186" s="1305"/>
      <c r="K186" s="1319"/>
      <c r="L186" s="1319"/>
      <c r="M186" s="1319"/>
      <c r="N186" s="1319"/>
      <c r="O186" s="555" t="s">
        <v>752</v>
      </c>
      <c r="P186" s="214" t="s">
        <v>265</v>
      </c>
      <c r="Q186" s="358" t="s">
        <v>266</v>
      </c>
      <c r="R186" s="531" t="s">
        <v>752</v>
      </c>
      <c r="S186" s="353" t="str">
        <f>IF(ISBLANK(A189),"",A189)</f>
        <v/>
      </c>
      <c r="T186" s="359" t="s">
        <v>192</v>
      </c>
      <c r="U186" s="357"/>
      <c r="V186" s="357"/>
      <c r="W186" s="380"/>
      <c r="X186" s="380"/>
      <c r="Y186" s="380"/>
      <c r="Z186" s="380"/>
      <c r="AA186" s="349"/>
      <c r="AB186" s="349"/>
      <c r="AC186" s="349"/>
      <c r="AD186" s="399"/>
      <c r="AE186" s="122"/>
      <c r="AF186" s="122"/>
      <c r="AG186" s="122"/>
      <c r="AH186" s="122"/>
      <c r="AI186" s="122"/>
      <c r="AJ186" s="122"/>
      <c r="AK186" s="122"/>
      <c r="AL186" s="124"/>
      <c r="AM186" s="122"/>
      <c r="AN186" s="122"/>
      <c r="AO186" s="122"/>
      <c r="AP186" s="122"/>
      <c r="AQ186" s="122"/>
      <c r="AR186" s="122"/>
      <c r="AS186" s="122"/>
      <c r="AT186" s="122"/>
      <c r="AU186" s="122"/>
      <c r="AV186" s="122"/>
      <c r="AW186" s="122"/>
      <c r="AX186" s="122"/>
      <c r="AY186" s="280"/>
      <c r="AZ186" s="280"/>
    </row>
    <row r="187" spans="1:52" ht="26.25" customHeight="1" x14ac:dyDescent="0.2">
      <c r="A187" s="1279"/>
      <c r="B187" s="1280"/>
      <c r="C187" s="1280"/>
      <c r="D187" s="1280"/>
      <c r="E187" s="1280"/>
      <c r="F187" s="1280"/>
      <c r="G187" s="1280"/>
      <c r="H187" s="1280"/>
      <c r="I187" s="1280"/>
      <c r="J187" s="1306"/>
      <c r="K187" s="1307" t="s">
        <v>615</v>
      </c>
      <c r="L187" s="1308"/>
      <c r="M187" s="1308"/>
      <c r="N187" s="1308"/>
      <c r="O187" s="1309"/>
      <c r="P187" s="365"/>
      <c r="Q187" s="400"/>
      <c r="R187" s="355" t="str">
        <f>IF(COUNTBLANK(P187:Q187)=2,"Please enter response.",IF(COUNTBLANK(P187:Q187)&lt;&gt;1,"Please VERIFY response.",""))</f>
        <v>Please enter response.</v>
      </c>
      <c r="S187" s="366" t="str">
        <f>IF(AND(ISBLANK(P187),ISBLANK(Q187)),"",IF(ISBLANK(P187),0,1))</f>
        <v/>
      </c>
      <c r="T187" s="233" t="s">
        <v>586</v>
      </c>
      <c r="U187" s="200"/>
      <c r="V187" s="200"/>
      <c r="W187" s="380"/>
      <c r="X187" s="380"/>
      <c r="Y187" s="380"/>
      <c r="Z187" s="380"/>
      <c r="AA187" s="198"/>
      <c r="AB187" s="198"/>
      <c r="AC187" s="198"/>
      <c r="AD187" s="198"/>
      <c r="AE187" s="122"/>
      <c r="AF187" s="122"/>
      <c r="AG187" s="122"/>
      <c r="AH187" s="122"/>
      <c r="AI187" s="122"/>
      <c r="AJ187" s="122"/>
      <c r="AK187" s="122"/>
      <c r="AL187" s="124"/>
      <c r="AM187" s="122"/>
      <c r="AN187" s="122"/>
      <c r="AO187" s="122"/>
      <c r="AP187" s="122"/>
      <c r="AQ187" s="122"/>
      <c r="AR187" s="122"/>
      <c r="AS187" s="122"/>
      <c r="AT187" s="122"/>
      <c r="AU187" s="122"/>
      <c r="AV187" s="122"/>
      <c r="AW187" s="122"/>
      <c r="AX187" s="122"/>
      <c r="AY187" s="122"/>
      <c r="AZ187" s="122"/>
    </row>
    <row r="188" spans="1:52" ht="26.25" customHeight="1" x14ac:dyDescent="0.2">
      <c r="A188" s="1322" t="s">
        <v>616</v>
      </c>
      <c r="B188" s="1323"/>
      <c r="C188" s="1323"/>
      <c r="D188" s="1323"/>
      <c r="E188" s="1323"/>
      <c r="F188" s="1323"/>
      <c r="G188" s="1323"/>
      <c r="H188" s="1323"/>
      <c r="I188" s="1323"/>
      <c r="J188" s="1324"/>
      <c r="K188" s="1307" t="s">
        <v>617</v>
      </c>
      <c r="L188" s="1308"/>
      <c r="M188" s="1308"/>
      <c r="N188" s="1308"/>
      <c r="O188" s="1309"/>
      <c r="P188" s="365"/>
      <c r="Q188" s="400"/>
      <c r="R188" s="355" t="str">
        <f>IF(COUNTBLANK(P188:Q188)=2,"Please enter response.",IF(COUNTBLANK(P188:Q188)&lt;&gt;1,"Please VERIFY response.",""))</f>
        <v>Please enter response.</v>
      </c>
      <c r="S188" s="366" t="str">
        <f>IF(AND(ISBLANK(P188),ISBLANK(Q188)),"",IF(ISBLANK(P188),0,1))</f>
        <v/>
      </c>
      <c r="T188" s="233" t="s">
        <v>587</v>
      </c>
      <c r="U188" s="200"/>
      <c r="V188" s="200"/>
      <c r="W188" s="380"/>
      <c r="X188" s="380"/>
      <c r="Y188" s="380"/>
      <c r="Z188" s="380"/>
      <c r="AA188" s="198"/>
      <c r="AB188" s="198"/>
      <c r="AC188" s="198"/>
      <c r="AD188" s="198"/>
      <c r="AE188" s="122"/>
      <c r="AF188" s="122"/>
      <c r="AG188" s="122"/>
      <c r="AH188" s="122"/>
      <c r="AI188" s="122"/>
      <c r="AJ188" s="122"/>
      <c r="AK188" s="122"/>
      <c r="AL188" s="124"/>
      <c r="AM188" s="122"/>
      <c r="AN188" s="122"/>
      <c r="AO188" s="122"/>
      <c r="AP188" s="122"/>
      <c r="AQ188" s="122"/>
      <c r="AR188" s="122"/>
      <c r="AS188" s="122"/>
      <c r="AT188" s="122"/>
      <c r="AU188" s="122"/>
      <c r="AV188" s="122"/>
      <c r="AW188" s="122"/>
      <c r="AX188" s="122"/>
      <c r="AY188" s="122"/>
      <c r="AZ188" s="122"/>
    </row>
    <row r="189" spans="1:52" ht="26.25" customHeight="1" x14ac:dyDescent="0.2">
      <c r="A189" s="1263"/>
      <c r="B189" s="1264"/>
      <c r="C189" s="1264"/>
      <c r="D189" s="1264"/>
      <c r="E189" s="1264"/>
      <c r="F189" s="1264"/>
      <c r="G189" s="1264"/>
      <c r="H189" s="1264"/>
      <c r="I189" s="1264"/>
      <c r="J189" s="1305"/>
      <c r="K189" s="1307" t="s">
        <v>618</v>
      </c>
      <c r="L189" s="1308"/>
      <c r="M189" s="1308"/>
      <c r="N189" s="1308"/>
      <c r="O189" s="1309"/>
      <c r="P189" s="365"/>
      <c r="Q189" s="400"/>
      <c r="R189" s="355" t="str">
        <f>IF(COUNTBLANK(P189:Q189)=2,"Please enter response.",IF(COUNTBLANK(P189:Q189)&lt;&gt;1,"Please VERIFY response.",""))</f>
        <v>Please enter response.</v>
      </c>
      <c r="S189" s="366" t="str">
        <f>IF(AND(ISBLANK(P189),ISBLANK(Q189)),"",IF(ISBLANK(P189),0,1))</f>
        <v/>
      </c>
      <c r="T189" s="233" t="s">
        <v>588</v>
      </c>
      <c r="U189" s="200"/>
      <c r="V189" s="200"/>
      <c r="W189" s="380"/>
      <c r="X189" s="380"/>
      <c r="Y189" s="380"/>
      <c r="Z189" s="380"/>
      <c r="AA189" s="198"/>
      <c r="AB189" s="198"/>
      <c r="AC189" s="198"/>
      <c r="AD189" s="352"/>
      <c r="AE189" s="122"/>
      <c r="AF189" s="122"/>
      <c r="AG189" s="122"/>
      <c r="AH189" s="122"/>
      <c r="AI189" s="122"/>
      <c r="AJ189" s="122"/>
      <c r="AK189" s="122"/>
      <c r="AL189" s="124"/>
      <c r="AM189" s="122"/>
      <c r="AN189" s="122"/>
      <c r="AO189" s="122"/>
      <c r="AP189" s="122"/>
      <c r="AQ189" s="122"/>
      <c r="AR189" s="122"/>
      <c r="AS189" s="122"/>
      <c r="AT189" s="122"/>
      <c r="AU189" s="122"/>
      <c r="AV189" s="122"/>
      <c r="AW189" s="122"/>
      <c r="AX189" s="122"/>
      <c r="AY189" s="122"/>
      <c r="AZ189" s="122"/>
    </row>
    <row r="190" spans="1:52" ht="26.25" customHeight="1" x14ac:dyDescent="0.25">
      <c r="A190" s="1279"/>
      <c r="B190" s="1280"/>
      <c r="C190" s="1280"/>
      <c r="D190" s="1280"/>
      <c r="E190" s="1280"/>
      <c r="F190" s="1280"/>
      <c r="G190" s="1280"/>
      <c r="H190" s="1280"/>
      <c r="I190" s="1280"/>
      <c r="J190" s="1306"/>
      <c r="K190" s="1307" t="s">
        <v>619</v>
      </c>
      <c r="L190" s="1308"/>
      <c r="M190" s="1308"/>
      <c r="N190" s="1308"/>
      <c r="O190" s="1309"/>
      <c r="P190" s="365"/>
      <c r="Q190" s="400"/>
      <c r="R190" s="355" t="str">
        <f>IF(COUNTBLANK(P190:Q190)=2,"Please enter response.",IF(COUNTBLANK(P190:Q190)&lt;&gt;1,"Please VERIFY response.",""))</f>
        <v>Please enter response.</v>
      </c>
      <c r="S190" s="366" t="str">
        <f>IF(AND(ISBLANK(P190),ISBLANK(Q190)),"",IF(ISBLANK(P190),0,1))</f>
        <v/>
      </c>
      <c r="T190" s="233" t="s">
        <v>589</v>
      </c>
      <c r="U190" s="200"/>
      <c r="V190" s="200"/>
      <c r="W190" s="380"/>
      <c r="X190" s="388"/>
      <c r="Y190" s="388"/>
      <c r="Z190" s="388"/>
      <c r="AA190" s="349"/>
      <c r="AB190" s="349"/>
      <c r="AC190" s="349"/>
      <c r="AD190" s="385"/>
      <c r="AE190" s="122"/>
      <c r="AF190" s="122"/>
      <c r="AG190" s="122"/>
      <c r="AH190" s="122"/>
      <c r="AI190" s="122"/>
      <c r="AJ190" s="122"/>
      <c r="AK190" s="122"/>
      <c r="AL190" s="124"/>
      <c r="AM190" s="122"/>
      <c r="AN190" s="122"/>
      <c r="AO190" s="122"/>
      <c r="AP190" s="122"/>
      <c r="AQ190" s="122"/>
      <c r="AR190" s="122"/>
      <c r="AS190" s="122"/>
      <c r="AT190" s="122"/>
      <c r="AU190" s="122"/>
      <c r="AV190" s="122"/>
      <c r="AW190" s="122"/>
      <c r="AX190" s="122"/>
      <c r="AY190" s="122"/>
      <c r="AZ190" s="122"/>
    </row>
    <row r="191" spans="1:52" ht="26.25" customHeight="1" x14ac:dyDescent="0.2">
      <c r="A191" s="1310" t="s">
        <v>620</v>
      </c>
      <c r="B191" s="1311"/>
      <c r="C191" s="1311"/>
      <c r="D191" s="1311"/>
      <c r="E191" s="1311"/>
      <c r="F191" s="1311"/>
      <c r="G191" s="1311"/>
      <c r="H191" s="1311"/>
      <c r="I191" s="1311"/>
      <c r="J191" s="1311"/>
      <c r="K191" s="1311"/>
      <c r="L191" s="1311"/>
      <c r="M191" s="1311"/>
      <c r="N191" s="1311"/>
      <c r="O191" s="1311"/>
      <c r="P191" s="1311"/>
      <c r="Q191" s="1312"/>
      <c r="R191" s="534" t="s">
        <v>752</v>
      </c>
      <c r="S191" s="377"/>
      <c r="T191" s="368"/>
      <c r="U191" s="368"/>
      <c r="V191" s="368"/>
      <c r="W191" s="380"/>
      <c r="X191" s="378"/>
      <c r="Y191" s="378"/>
      <c r="Z191" s="378"/>
      <c r="AA191" s="380"/>
      <c r="AB191" s="380"/>
      <c r="AC191" s="380"/>
      <c r="AD191" s="198"/>
      <c r="AE191" s="122"/>
      <c r="AF191" s="122"/>
      <c r="AG191" s="122"/>
      <c r="AH191" s="122"/>
      <c r="AI191" s="122"/>
      <c r="AJ191" s="122"/>
      <c r="AK191" s="122"/>
      <c r="AL191" s="124"/>
      <c r="AM191" s="122"/>
      <c r="AN191" s="122"/>
      <c r="AO191" s="122"/>
      <c r="AP191" s="122"/>
      <c r="AQ191" s="122"/>
      <c r="AR191" s="122"/>
      <c r="AS191" s="122"/>
      <c r="AT191" s="122"/>
      <c r="AU191" s="122"/>
      <c r="AV191" s="122"/>
      <c r="AW191" s="122"/>
      <c r="AX191" s="122"/>
      <c r="AY191" s="122"/>
      <c r="AZ191" s="122"/>
    </row>
    <row r="192" spans="1:52" ht="26.25" customHeight="1" x14ac:dyDescent="0.25">
      <c r="A192" s="1313" t="s">
        <v>621</v>
      </c>
      <c r="B192" s="1314"/>
      <c r="C192" s="1314"/>
      <c r="D192" s="1314"/>
      <c r="E192" s="1314" t="s">
        <v>622</v>
      </c>
      <c r="F192" s="1314"/>
      <c r="G192" s="1314"/>
      <c r="H192" s="1314"/>
      <c r="I192" s="1314" t="s">
        <v>623</v>
      </c>
      <c r="J192" s="1314"/>
      <c r="K192" s="1314"/>
      <c r="L192" s="1314"/>
      <c r="M192" s="1315" t="s">
        <v>624</v>
      </c>
      <c r="N192" s="1314"/>
      <c r="O192" s="1314"/>
      <c r="P192" s="1314"/>
      <c r="Q192" s="1316"/>
      <c r="R192" s="534" t="s">
        <v>752</v>
      </c>
      <c r="S192" s="1298" t="s">
        <v>625</v>
      </c>
      <c r="T192" s="1298"/>
      <c r="U192" s="1298"/>
      <c r="V192" s="1298"/>
      <c r="W192" s="380"/>
      <c r="X192" s="380"/>
      <c r="Y192" s="380"/>
      <c r="Z192" s="380"/>
      <c r="AA192" s="380"/>
      <c r="AB192" s="380"/>
      <c r="AC192" s="380"/>
      <c r="AD192" s="385"/>
      <c r="AE192" s="122"/>
      <c r="AF192" s="122"/>
      <c r="AG192" s="122"/>
      <c r="AH192" s="122"/>
      <c r="AI192" s="122"/>
      <c r="AJ192" s="122"/>
      <c r="AK192" s="122"/>
      <c r="AL192" s="124"/>
      <c r="AM192" s="122"/>
      <c r="AN192" s="122"/>
      <c r="AO192" s="122"/>
      <c r="AP192" s="122"/>
      <c r="AQ192" s="122"/>
      <c r="AR192" s="122"/>
      <c r="AS192" s="122"/>
      <c r="AT192" s="122"/>
      <c r="AU192" s="122"/>
      <c r="AV192" s="122"/>
      <c r="AW192" s="122"/>
      <c r="AX192" s="122"/>
      <c r="AY192" s="122"/>
      <c r="AZ192" s="122"/>
    </row>
    <row r="193" spans="1:53" ht="26.25" customHeight="1" thickBot="1" x14ac:dyDescent="0.3">
      <c r="A193" s="1299"/>
      <c r="B193" s="848"/>
      <c r="C193" s="848"/>
      <c r="D193" s="848"/>
      <c r="E193" s="848"/>
      <c r="F193" s="848"/>
      <c r="G193" s="848"/>
      <c r="H193" s="848"/>
      <c r="I193" s="848"/>
      <c r="J193" s="848"/>
      <c r="K193" s="848"/>
      <c r="L193" s="848"/>
      <c r="M193" s="1300"/>
      <c r="N193" s="1300"/>
      <c r="O193" s="1300"/>
      <c r="P193" s="1300"/>
      <c r="Q193" s="1301"/>
      <c r="R193" s="531" t="s">
        <v>752</v>
      </c>
      <c r="S193" s="381" t="str">
        <f>IF(ISBLANK(A193),"",VLOOKUP(A193,VProjType,2,FALSE))</f>
        <v/>
      </c>
      <c r="T193" s="381" t="str">
        <f>IF(ISBLANK(E193),"",VLOOKUP(E193,VSubtype1,2,FALSE))</f>
        <v/>
      </c>
      <c r="U193" s="381" t="str">
        <f>IF(ISBLANK(I193),"",VLOOKUP(I193,VSubtype2,2,FALSE))</f>
        <v/>
      </c>
      <c r="V193" s="381" t="str">
        <f>IF(ISBLANK(M193),"",VLOOKUP(M193,VSubtype3,2,FALSE))</f>
        <v/>
      </c>
      <c r="W193" s="380"/>
      <c r="X193" s="380"/>
      <c r="Y193" s="380"/>
      <c r="Z193" s="380"/>
      <c r="AA193" s="380"/>
      <c r="AB193" s="380"/>
      <c r="AC193" s="380"/>
      <c r="AD193" s="385"/>
      <c r="AE193" s="122"/>
      <c r="AF193" s="122"/>
      <c r="AG193" s="122"/>
      <c r="AH193" s="122"/>
      <c r="AI193" s="122"/>
      <c r="AJ193" s="122"/>
      <c r="AK193" s="122"/>
      <c r="AL193" s="124"/>
      <c r="AM193" s="122"/>
      <c r="AN193" s="122"/>
      <c r="AO193" s="122"/>
      <c r="AP193" s="122"/>
      <c r="AQ193" s="122"/>
      <c r="AR193" s="122"/>
      <c r="AS193" s="122"/>
      <c r="AT193" s="122"/>
      <c r="AU193" s="122"/>
      <c r="AV193" s="122"/>
      <c r="AW193" s="122"/>
      <c r="AX193" s="122"/>
      <c r="AY193" s="122"/>
      <c r="AZ193" s="122"/>
    </row>
    <row r="194" spans="1:53" ht="26.25" customHeight="1" x14ac:dyDescent="0.25">
      <c r="A194" s="1302" t="s">
        <v>627</v>
      </c>
      <c r="B194" s="1303"/>
      <c r="C194" s="1303"/>
      <c r="D194" s="1303"/>
      <c r="E194" s="1303"/>
      <c r="F194" s="1303"/>
      <c r="G194" s="1303"/>
      <c r="H194" s="1303"/>
      <c r="I194" s="1303"/>
      <c r="J194" s="1303"/>
      <c r="K194" s="1303"/>
      <c r="L194" s="1303"/>
      <c r="M194" s="1303"/>
      <c r="N194" s="1303"/>
      <c r="O194" s="1303"/>
      <c r="P194" s="1303"/>
      <c r="Q194" s="1304"/>
      <c r="R194" s="531" t="s">
        <v>752</v>
      </c>
      <c r="S194" s="382" t="s">
        <v>628</v>
      </c>
      <c r="T194" s="378"/>
      <c r="U194" s="378"/>
      <c r="V194" s="378"/>
      <c r="W194" s="388"/>
      <c r="X194" s="380"/>
      <c r="Y194" s="380"/>
      <c r="Z194" s="380"/>
      <c r="AA194" s="380"/>
      <c r="AB194" s="380"/>
      <c r="AC194" s="380"/>
      <c r="AD194" s="385"/>
      <c r="AE194" s="122"/>
      <c r="AF194" s="122"/>
      <c r="AG194" s="122"/>
      <c r="AH194" s="122"/>
      <c r="AI194" s="122"/>
      <c r="AJ194" s="122"/>
      <c r="AK194" s="122"/>
      <c r="AL194" s="122"/>
      <c r="AM194" s="122"/>
      <c r="AN194" s="122"/>
      <c r="AO194" s="122"/>
      <c r="AP194" s="122"/>
      <c r="AQ194" s="122"/>
      <c r="AR194" s="122"/>
      <c r="AS194" s="122"/>
      <c r="AT194" s="122"/>
      <c r="AU194" s="122"/>
      <c r="AV194" s="122"/>
      <c r="AW194" s="122"/>
      <c r="AX194" s="122"/>
      <c r="AY194" s="122"/>
      <c r="AZ194" s="122"/>
    </row>
    <row r="195" spans="1:53" ht="26.25" customHeight="1" x14ac:dyDescent="0.25">
      <c r="A195" s="1269" t="s">
        <v>629</v>
      </c>
      <c r="B195" s="1270"/>
      <c r="C195" s="1270"/>
      <c r="D195" s="1270"/>
      <c r="E195" s="1270"/>
      <c r="F195" s="1270"/>
      <c r="G195" s="1270"/>
      <c r="H195" s="1270"/>
      <c r="I195" s="1270"/>
      <c r="J195" s="1270"/>
      <c r="K195" s="1270"/>
      <c r="L195" s="1271"/>
      <c r="M195" s="1272"/>
      <c r="N195" s="1273"/>
      <c r="O195" s="1273"/>
      <c r="P195" s="1273"/>
      <c r="Q195" s="1274"/>
      <c r="R195" s="531" t="s">
        <v>752</v>
      </c>
      <c r="S195" s="383" t="str">
        <f>IF(ISBLANK(M195),"",VLOOKUP(M195,VRemote,2,FALSE))</f>
        <v/>
      </c>
      <c r="T195" s="384" t="s">
        <v>630</v>
      </c>
      <c r="U195" s="378"/>
      <c r="V195" s="378"/>
      <c r="W195" s="378"/>
      <c r="X195" s="380"/>
      <c r="Y195" s="380"/>
      <c r="Z195" s="380"/>
      <c r="AA195" s="380"/>
      <c r="AB195" s="380"/>
      <c r="AC195" s="380"/>
      <c r="AD195" s="385"/>
      <c r="AE195" s="122"/>
      <c r="AF195" s="122"/>
      <c r="AG195" s="122"/>
      <c r="AH195" s="122"/>
      <c r="AI195" s="122"/>
      <c r="AJ195" s="122"/>
      <c r="AK195" s="122"/>
      <c r="AL195" s="122"/>
      <c r="AM195" s="122"/>
      <c r="AN195" s="122"/>
      <c r="AO195" s="122"/>
      <c r="AP195" s="122"/>
      <c r="AQ195" s="122"/>
      <c r="AR195" s="122"/>
      <c r="AS195" s="122"/>
      <c r="AT195" s="122"/>
      <c r="AU195" s="122"/>
      <c r="AV195" s="122"/>
      <c r="AW195" s="122"/>
      <c r="AX195" s="122"/>
      <c r="AY195" s="122"/>
      <c r="AZ195" s="122"/>
    </row>
    <row r="196" spans="1:53" ht="26.25" customHeight="1" x14ac:dyDescent="0.25">
      <c r="A196" s="1269" t="s">
        <v>631</v>
      </c>
      <c r="B196" s="1270"/>
      <c r="C196" s="1270"/>
      <c r="D196" s="1270"/>
      <c r="E196" s="1270"/>
      <c r="F196" s="1270"/>
      <c r="G196" s="1270"/>
      <c r="H196" s="1270"/>
      <c r="I196" s="1270"/>
      <c r="J196" s="1270"/>
      <c r="K196" s="1270"/>
      <c r="L196" s="1270"/>
      <c r="M196" s="1272"/>
      <c r="N196" s="1273"/>
      <c r="O196" s="1273"/>
      <c r="P196" s="1273"/>
      <c r="Q196" s="1274"/>
      <c r="R196" s="531" t="s">
        <v>752</v>
      </c>
      <c r="S196" s="383" t="str">
        <f>IF(ISBLANK(M196),"",VLOOKUP(M196,VCapacity,2,FALSE))</f>
        <v/>
      </c>
      <c r="T196" s="151" t="s">
        <v>632</v>
      </c>
      <c r="U196" s="380"/>
      <c r="V196" s="380"/>
      <c r="W196" s="380"/>
      <c r="X196" s="380"/>
      <c r="Y196" s="380"/>
      <c r="Z196" s="380"/>
      <c r="AA196" s="380"/>
      <c r="AB196" s="380"/>
      <c r="AC196" s="380"/>
      <c r="AD196" s="385"/>
      <c r="AE196" s="122"/>
      <c r="AF196" s="122"/>
      <c r="AG196" s="122"/>
      <c r="AH196" s="122"/>
      <c r="AI196" s="122"/>
      <c r="AJ196" s="122"/>
      <c r="AK196" s="122"/>
      <c r="AL196" s="122"/>
      <c r="AM196" s="122"/>
      <c r="AN196" s="122"/>
      <c r="AO196" s="122"/>
      <c r="AP196" s="122"/>
      <c r="AQ196" s="122"/>
      <c r="AR196" s="122"/>
      <c r="AS196" s="122"/>
      <c r="AT196" s="122"/>
      <c r="AU196" s="122"/>
      <c r="AV196" s="122"/>
      <c r="AW196" s="122"/>
      <c r="AX196" s="122"/>
      <c r="AY196" s="122"/>
      <c r="AZ196" s="122"/>
    </row>
    <row r="197" spans="1:53" ht="26.25" customHeight="1" x14ac:dyDescent="0.25">
      <c r="A197" s="1269" t="s">
        <v>633</v>
      </c>
      <c r="B197" s="1270"/>
      <c r="C197" s="1270"/>
      <c r="D197" s="1270"/>
      <c r="E197" s="1270"/>
      <c r="F197" s="1270"/>
      <c r="G197" s="1270"/>
      <c r="H197" s="1270"/>
      <c r="I197" s="1270"/>
      <c r="J197" s="1270"/>
      <c r="K197" s="1270"/>
      <c r="L197" s="1270"/>
      <c r="M197" s="1272"/>
      <c r="N197" s="1273"/>
      <c r="O197" s="1273"/>
      <c r="P197" s="1273"/>
      <c r="Q197" s="1274"/>
      <c r="R197" s="531" t="s">
        <v>752</v>
      </c>
      <c r="S197" s="383" t="str">
        <f>IF(ISBLANK(M197),"",VLOOKUP(M197,VPriorCap,2,FALSE))</f>
        <v/>
      </c>
      <c r="T197" s="151" t="s">
        <v>634</v>
      </c>
      <c r="U197" s="380"/>
      <c r="V197" s="380"/>
      <c r="W197" s="380"/>
      <c r="X197" s="380"/>
      <c r="Y197" s="380"/>
      <c r="Z197" s="380"/>
      <c r="AA197" s="380"/>
      <c r="AB197" s="380"/>
      <c r="AC197" s="380"/>
      <c r="AD197" s="385"/>
      <c r="AE197" s="122"/>
      <c r="AF197" s="122"/>
      <c r="AG197" s="122"/>
      <c r="AH197" s="122"/>
      <c r="AI197" s="122"/>
      <c r="AJ197" s="122"/>
      <c r="AK197" s="122"/>
      <c r="AL197" s="122"/>
      <c r="AM197" s="122"/>
      <c r="AN197" s="122"/>
      <c r="AO197" s="122"/>
      <c r="AP197" s="122"/>
      <c r="AQ197" s="122"/>
      <c r="AR197" s="122"/>
      <c r="AS197" s="122"/>
      <c r="AT197" s="122"/>
      <c r="AU197" s="122"/>
      <c r="AV197" s="122"/>
      <c r="AW197" s="122"/>
      <c r="AX197" s="122"/>
      <c r="AY197" s="122"/>
      <c r="AZ197" s="122"/>
    </row>
    <row r="198" spans="1:53" ht="25.9" customHeight="1" x14ac:dyDescent="0.25">
      <c r="A198" s="1286" t="s">
        <v>636</v>
      </c>
      <c r="B198" s="1287"/>
      <c r="C198" s="1287"/>
      <c r="D198" s="1287"/>
      <c r="E198" s="1287"/>
      <c r="F198" s="1287"/>
      <c r="G198" s="1287"/>
      <c r="H198" s="1287"/>
      <c r="I198" s="1287"/>
      <c r="J198" s="1287"/>
      <c r="K198" s="1287"/>
      <c r="L198" s="1287"/>
      <c r="M198" s="1287"/>
      <c r="N198" s="1287"/>
      <c r="O198" s="1287"/>
      <c r="P198" s="1287"/>
      <c r="Q198" s="1288"/>
      <c r="R198" s="531" t="s">
        <v>752</v>
      </c>
      <c r="S198" s="386" t="str">
        <f>IF(ISBLANK(A199),"",A199)</f>
        <v/>
      </c>
      <c r="T198" s="151" t="s">
        <v>583</v>
      </c>
      <c r="U198" s="380"/>
      <c r="V198" s="380"/>
      <c r="W198" s="380"/>
      <c r="X198" s="380"/>
      <c r="Y198" s="380"/>
      <c r="Z198" s="380"/>
      <c r="AA198" s="380"/>
      <c r="AB198" s="380"/>
      <c r="AC198" s="380"/>
      <c r="AD198" s="385"/>
      <c r="AE198" s="122"/>
      <c r="AF198" s="122"/>
      <c r="AG198" s="122"/>
      <c r="AH198" s="122"/>
      <c r="AI198" s="122"/>
      <c r="AJ198" s="122"/>
      <c r="AK198" s="122"/>
      <c r="AL198" s="122"/>
      <c r="AM198" s="122"/>
      <c r="AN198" s="122"/>
      <c r="AO198" s="122"/>
      <c r="AP198" s="122"/>
      <c r="AQ198" s="122"/>
      <c r="AR198" s="122"/>
      <c r="AS198" s="122"/>
      <c r="AT198" s="122"/>
      <c r="AU198" s="122"/>
      <c r="AV198" s="122"/>
      <c r="AW198" s="122"/>
      <c r="AX198" s="122"/>
      <c r="AY198" s="122"/>
      <c r="AZ198" s="122"/>
    </row>
    <row r="199" spans="1:53" ht="26.25" customHeight="1" x14ac:dyDescent="0.25">
      <c r="A199" s="1278"/>
      <c r="B199" s="1255"/>
      <c r="C199" s="1255"/>
      <c r="D199" s="1255"/>
      <c r="E199" s="1255"/>
      <c r="F199" s="1255"/>
      <c r="G199" s="1255"/>
      <c r="H199" s="1255"/>
      <c r="I199" s="1255"/>
      <c r="J199" s="1255"/>
      <c r="K199" s="1255"/>
      <c r="L199" s="1255"/>
      <c r="M199" s="1255"/>
      <c r="N199" s="1255"/>
      <c r="O199" s="1255"/>
      <c r="P199" s="1255"/>
      <c r="Q199" s="1285"/>
      <c r="R199" s="531" t="s">
        <v>752</v>
      </c>
      <c r="S199" s="380"/>
      <c r="T199" s="380"/>
      <c r="U199" s="380"/>
      <c r="V199" s="380"/>
      <c r="W199" s="380"/>
      <c r="X199" s="380"/>
      <c r="Y199" s="380"/>
      <c r="Z199" s="380"/>
      <c r="AA199" s="380"/>
      <c r="AB199" s="380"/>
      <c r="AC199" s="380"/>
      <c r="AD199" s="385"/>
      <c r="AE199" s="122"/>
      <c r="AF199" s="122"/>
      <c r="AG199" s="122"/>
      <c r="AH199" s="122"/>
      <c r="AI199" s="122"/>
      <c r="AJ199" s="122"/>
      <c r="AK199" s="122"/>
      <c r="AL199" s="122"/>
      <c r="AM199" s="122"/>
      <c r="AN199" s="122"/>
      <c r="AO199" s="122"/>
      <c r="AP199" s="122"/>
      <c r="AQ199" s="122"/>
      <c r="AR199" s="122"/>
      <c r="AS199" s="122"/>
      <c r="AT199" s="122"/>
      <c r="AU199" s="122"/>
      <c r="AV199" s="122"/>
      <c r="AW199" s="122"/>
      <c r="AX199" s="122"/>
      <c r="AY199" s="122"/>
      <c r="AZ199" s="122"/>
    </row>
    <row r="200" spans="1:53" ht="26.25" customHeight="1" x14ac:dyDescent="0.25">
      <c r="A200" s="1289"/>
      <c r="B200" s="1290"/>
      <c r="C200" s="1290"/>
      <c r="D200" s="1290"/>
      <c r="E200" s="1290"/>
      <c r="F200" s="1290"/>
      <c r="G200" s="1290"/>
      <c r="H200" s="1290"/>
      <c r="I200" s="1290"/>
      <c r="J200" s="1290"/>
      <c r="K200" s="1290"/>
      <c r="L200" s="1290"/>
      <c r="M200" s="1290"/>
      <c r="N200" s="1290"/>
      <c r="O200" s="1290"/>
      <c r="P200" s="1290"/>
      <c r="Q200" s="1291"/>
      <c r="R200" s="531" t="s">
        <v>752</v>
      </c>
      <c r="S200" s="380"/>
      <c r="T200" s="380"/>
      <c r="U200" s="380"/>
      <c r="V200" s="380"/>
      <c r="W200" s="380"/>
      <c r="X200" s="380"/>
      <c r="Y200" s="380"/>
      <c r="Z200" s="380"/>
      <c r="AA200" s="198"/>
      <c r="AB200" s="198"/>
      <c r="AC200" s="198"/>
      <c r="AD200" s="385"/>
      <c r="AE200" s="122"/>
      <c r="AF200" s="122"/>
      <c r="AG200" s="122"/>
      <c r="AH200" s="122"/>
      <c r="AI200" s="122"/>
      <c r="AJ200" s="122"/>
      <c r="AK200" s="122"/>
      <c r="AL200" s="122"/>
      <c r="AM200" s="122"/>
      <c r="AN200" s="122"/>
      <c r="AO200" s="122"/>
      <c r="AP200" s="122"/>
      <c r="AQ200" s="122"/>
      <c r="AR200" s="122"/>
      <c r="AS200" s="122"/>
      <c r="AT200" s="122"/>
      <c r="AU200" s="122"/>
      <c r="AV200" s="122"/>
      <c r="AW200" s="122"/>
      <c r="AX200" s="122"/>
      <c r="AY200" s="122"/>
      <c r="AZ200" s="122"/>
    </row>
    <row r="201" spans="1:53" ht="26.25" customHeight="1" x14ac:dyDescent="0.25">
      <c r="A201" s="1292" t="s">
        <v>638</v>
      </c>
      <c r="B201" s="1293"/>
      <c r="C201" s="1293"/>
      <c r="D201" s="1293"/>
      <c r="E201" s="1293"/>
      <c r="F201" s="1293"/>
      <c r="G201" s="1293"/>
      <c r="H201" s="1293"/>
      <c r="I201" s="1293"/>
      <c r="J201" s="1293"/>
      <c r="K201" s="1293"/>
      <c r="L201" s="1293"/>
      <c r="M201" s="1293"/>
      <c r="N201" s="1293"/>
      <c r="O201" s="1293"/>
      <c r="P201" s="1293"/>
      <c r="Q201" s="1294"/>
      <c r="R201" s="534" t="s">
        <v>752</v>
      </c>
      <c r="S201" s="382"/>
      <c r="T201" s="382"/>
      <c r="U201" s="382"/>
      <c r="V201" s="382"/>
      <c r="W201" s="380"/>
      <c r="X201" s="198"/>
      <c r="Y201" s="198"/>
      <c r="Z201" s="198"/>
      <c r="AA201" s="378"/>
      <c r="AB201" s="378"/>
      <c r="AC201" s="378"/>
      <c r="AD201" s="385"/>
      <c r="AE201" s="122"/>
      <c r="AF201" s="122"/>
      <c r="AG201" s="122"/>
      <c r="AH201" s="122"/>
      <c r="AI201" s="122"/>
      <c r="AJ201" s="122"/>
      <c r="AK201" s="122"/>
      <c r="AL201" s="122"/>
      <c r="AM201" s="122"/>
      <c r="AN201" s="122"/>
      <c r="AO201" s="122"/>
      <c r="AP201" s="122"/>
      <c r="AQ201" s="122"/>
      <c r="AR201" s="122"/>
      <c r="AS201" s="122"/>
      <c r="AT201" s="122"/>
      <c r="AU201" s="122"/>
      <c r="AV201" s="122"/>
      <c r="AW201" s="122"/>
      <c r="AX201" s="122"/>
      <c r="AY201" s="122"/>
      <c r="AZ201" s="122"/>
    </row>
    <row r="202" spans="1:53" ht="26.25" customHeight="1" x14ac:dyDescent="0.2">
      <c r="A202" s="1278"/>
      <c r="B202" s="1255"/>
      <c r="C202" s="1255"/>
      <c r="D202" s="1255"/>
      <c r="E202" s="1255"/>
      <c r="F202" s="1255"/>
      <c r="G202" s="1255"/>
      <c r="H202" s="1255"/>
      <c r="I202" s="1255"/>
      <c r="J202" s="1255"/>
      <c r="K202" s="1255"/>
      <c r="L202" s="1255"/>
      <c r="M202" s="1255"/>
      <c r="N202" s="1255"/>
      <c r="O202" s="1255"/>
      <c r="P202" s="1255"/>
      <c r="Q202" s="1256"/>
      <c r="R202" s="534" t="s">
        <v>752</v>
      </c>
      <c r="S202" s="386" t="str">
        <f>IF(ISBLANK(A202),"",A202)</f>
        <v/>
      </c>
      <c r="T202" s="354" t="s">
        <v>194</v>
      </c>
      <c r="U202" s="380"/>
      <c r="V202" s="380"/>
      <c r="W202" s="380"/>
      <c r="X202" s="382"/>
      <c r="Y202" s="382"/>
      <c r="Z202" s="382"/>
      <c r="AA202" s="380"/>
      <c r="AB202" s="380"/>
      <c r="AC202" s="380"/>
      <c r="AD202" s="198"/>
      <c r="AE202" s="122"/>
      <c r="AF202" s="122"/>
      <c r="AG202" s="122"/>
      <c r="AH202" s="122"/>
      <c r="AI202" s="122"/>
      <c r="AJ202" s="122"/>
      <c r="AK202" s="122"/>
      <c r="AL202" s="122"/>
      <c r="AM202" s="122"/>
      <c r="AN202" s="122"/>
      <c r="AO202" s="122"/>
      <c r="AP202" s="122"/>
      <c r="AQ202" s="122"/>
      <c r="AR202" s="122"/>
      <c r="AS202" s="122"/>
      <c r="AT202" s="122"/>
      <c r="AU202" s="122"/>
      <c r="AV202" s="122"/>
      <c r="AW202" s="122"/>
      <c r="AX202" s="122"/>
      <c r="AY202" s="122"/>
      <c r="AZ202" s="122"/>
    </row>
    <row r="203" spans="1:53" ht="26.25" customHeight="1" thickBot="1" x14ac:dyDescent="0.3">
      <c r="A203" s="1266"/>
      <c r="B203" s="1267"/>
      <c r="C203" s="1267"/>
      <c r="D203" s="1267"/>
      <c r="E203" s="1267"/>
      <c r="F203" s="1267"/>
      <c r="G203" s="1267"/>
      <c r="H203" s="1267"/>
      <c r="I203" s="1267"/>
      <c r="J203" s="1267"/>
      <c r="K203" s="1267"/>
      <c r="L203" s="1267"/>
      <c r="M203" s="1267"/>
      <c r="N203" s="1267"/>
      <c r="O203" s="1267"/>
      <c r="P203" s="1267"/>
      <c r="Q203" s="1268"/>
      <c r="R203" s="531" t="s">
        <v>752</v>
      </c>
      <c r="S203" s="380"/>
      <c r="T203" s="354"/>
      <c r="U203" s="380"/>
      <c r="V203" s="380"/>
      <c r="W203" s="380"/>
      <c r="X203" s="380"/>
      <c r="Y203" s="380"/>
      <c r="Z203" s="380"/>
      <c r="AA203" s="380"/>
      <c r="AB203" s="380"/>
      <c r="AC203" s="380"/>
      <c r="AD203" s="385"/>
      <c r="AE203" s="122"/>
      <c r="AF203" s="122"/>
      <c r="AG203" s="122"/>
      <c r="AH203" s="122"/>
      <c r="AI203" s="122"/>
      <c r="AJ203" s="122"/>
      <c r="AK203" s="122"/>
      <c r="AL203" s="122"/>
      <c r="AM203" s="122"/>
      <c r="AN203" s="122"/>
      <c r="AO203" s="122"/>
      <c r="AP203" s="122"/>
      <c r="AQ203" s="122"/>
      <c r="AR203" s="122"/>
      <c r="AS203" s="122"/>
      <c r="AT203" s="122"/>
      <c r="AU203" s="122"/>
      <c r="AV203" s="122"/>
      <c r="AW203" s="122"/>
      <c r="AX203" s="122"/>
      <c r="AY203" s="122"/>
      <c r="AZ203" s="122"/>
    </row>
    <row r="204" spans="1:53" ht="26.25" customHeight="1" x14ac:dyDescent="0.25">
      <c r="A204" s="1260" t="s">
        <v>640</v>
      </c>
      <c r="B204" s="1261"/>
      <c r="C204" s="1261"/>
      <c r="D204" s="1261"/>
      <c r="E204" s="1261"/>
      <c r="F204" s="1261"/>
      <c r="G204" s="1261"/>
      <c r="H204" s="1261"/>
      <c r="I204" s="1261"/>
      <c r="J204" s="1261"/>
      <c r="K204" s="1261"/>
      <c r="L204" s="1261"/>
      <c r="M204" s="1261"/>
      <c r="N204" s="1261"/>
      <c r="O204" s="1261"/>
      <c r="P204" s="1261"/>
      <c r="Q204" s="1262"/>
      <c r="R204" s="531" t="s">
        <v>752</v>
      </c>
      <c r="S204" s="382" t="s">
        <v>641</v>
      </c>
      <c r="T204" s="378"/>
      <c r="U204" s="378"/>
      <c r="V204" s="378"/>
      <c r="W204" s="380"/>
      <c r="X204" s="380"/>
      <c r="Y204" s="380"/>
      <c r="Z204" s="380"/>
      <c r="AA204" s="380"/>
      <c r="AB204" s="380"/>
      <c r="AC204" s="380"/>
      <c r="AD204" s="385"/>
      <c r="AE204" s="122"/>
      <c r="AF204" s="122"/>
      <c r="AG204" s="122"/>
      <c r="AH204" s="122"/>
      <c r="AI204" s="122"/>
      <c r="AJ204" s="122"/>
      <c r="AK204" s="122"/>
      <c r="AL204" s="122"/>
      <c r="AM204" s="122"/>
      <c r="AN204" s="122"/>
      <c r="AO204" s="122"/>
      <c r="AP204" s="122"/>
      <c r="AQ204" s="122"/>
      <c r="AR204" s="122"/>
      <c r="AS204" s="122"/>
      <c r="AT204" s="122"/>
      <c r="AU204" s="122"/>
      <c r="AV204" s="122"/>
      <c r="AW204" s="122"/>
      <c r="AX204" s="122"/>
      <c r="AY204" s="122"/>
      <c r="AZ204" s="122"/>
    </row>
    <row r="205" spans="1:53" ht="26.25" customHeight="1" x14ac:dyDescent="0.25">
      <c r="A205" s="1295" t="s">
        <v>642</v>
      </c>
      <c r="B205" s="1296"/>
      <c r="C205" s="1296"/>
      <c r="D205" s="1296"/>
      <c r="E205" s="1296"/>
      <c r="F205" s="1296"/>
      <c r="G205" s="1296"/>
      <c r="H205" s="1296"/>
      <c r="I205" s="1296"/>
      <c r="J205" s="1296"/>
      <c r="K205" s="1296"/>
      <c r="L205" s="1297"/>
      <c r="M205" s="1272"/>
      <c r="N205" s="1273"/>
      <c r="O205" s="1273"/>
      <c r="P205" s="1273"/>
      <c r="Q205" s="1274"/>
      <c r="R205" s="531" t="s">
        <v>752</v>
      </c>
      <c r="S205" s="387" t="str">
        <f>IF(ISBLANK(M205),"",VLOOKUP(M205,VImpact,2,FALSE))</f>
        <v/>
      </c>
      <c r="T205" s="151" t="s">
        <v>643</v>
      </c>
      <c r="U205" s="380"/>
      <c r="V205" s="380"/>
      <c r="W205" s="198"/>
      <c r="X205" s="380"/>
      <c r="Y205" s="380"/>
      <c r="Z205" s="380"/>
      <c r="AA205" s="380"/>
      <c r="AB205" s="380"/>
      <c r="AC205" s="380"/>
      <c r="AD205" s="385"/>
      <c r="AE205" s="122"/>
      <c r="AF205" s="122"/>
      <c r="AG205" s="122"/>
      <c r="AH205" s="122"/>
      <c r="AI205" s="122"/>
      <c r="AJ205" s="122"/>
      <c r="AK205" s="122"/>
      <c r="AL205" s="122"/>
      <c r="AM205" s="122"/>
      <c r="AN205" s="122"/>
      <c r="AO205" s="122"/>
      <c r="AP205" s="122"/>
      <c r="AQ205" s="122"/>
      <c r="AR205" s="122"/>
      <c r="AS205" s="122"/>
      <c r="AT205" s="122"/>
      <c r="AU205" s="122"/>
      <c r="AV205" s="122"/>
      <c r="AW205" s="280"/>
      <c r="AX205" s="280"/>
      <c r="AY205" s="280"/>
      <c r="AZ205" s="280"/>
      <c r="BA205" s="352"/>
    </row>
    <row r="206" spans="1:53" ht="26.25" customHeight="1" x14ac:dyDescent="0.25">
      <c r="A206" s="1269" t="s">
        <v>644</v>
      </c>
      <c r="B206" s="1270"/>
      <c r="C206" s="1270"/>
      <c r="D206" s="1270"/>
      <c r="E206" s="1270"/>
      <c r="F206" s="1270"/>
      <c r="G206" s="1270"/>
      <c r="H206" s="1270"/>
      <c r="I206" s="1270"/>
      <c r="J206" s="1270"/>
      <c r="K206" s="1270"/>
      <c r="L206" s="1271"/>
      <c r="M206" s="1272"/>
      <c r="N206" s="1273"/>
      <c r="O206" s="1273"/>
      <c r="P206" s="1273"/>
      <c r="Q206" s="1274"/>
      <c r="R206" s="531" t="s">
        <v>752</v>
      </c>
      <c r="S206" s="387" t="str">
        <f>IF(ISBLANK(M206),"",VLOOKUP(M206,VEvidence,2,FALSE))</f>
        <v/>
      </c>
      <c r="T206" s="233" t="s">
        <v>645</v>
      </c>
      <c r="U206" s="380"/>
      <c r="V206" s="380"/>
      <c r="W206" s="382"/>
      <c r="X206" s="380"/>
      <c r="Y206" s="380"/>
      <c r="Z206" s="380"/>
      <c r="AA206" s="380"/>
      <c r="AB206" s="380"/>
      <c r="AC206" s="380"/>
      <c r="AD206" s="385"/>
      <c r="AE206" s="122"/>
      <c r="AF206" s="122"/>
      <c r="AG206" s="122"/>
      <c r="AH206" s="122"/>
      <c r="AI206" s="122"/>
      <c r="AJ206" s="122"/>
      <c r="AK206" s="122"/>
      <c r="AL206" s="122"/>
      <c r="AM206" s="122"/>
      <c r="AN206" s="122"/>
      <c r="AO206" s="122"/>
      <c r="AP206" s="122"/>
      <c r="AQ206" s="122"/>
      <c r="AR206" s="122"/>
      <c r="AS206" s="122"/>
      <c r="AT206" s="122"/>
      <c r="AU206" s="122"/>
      <c r="AV206" s="122"/>
      <c r="AW206" s="280"/>
      <c r="AX206" s="280"/>
      <c r="AY206" s="280"/>
      <c r="AZ206" s="280"/>
      <c r="BA206" s="352"/>
    </row>
    <row r="207" spans="1:53" ht="26.25" customHeight="1" x14ac:dyDescent="0.25">
      <c r="A207" s="1275" t="s">
        <v>646</v>
      </c>
      <c r="B207" s="1276"/>
      <c r="C207" s="1276"/>
      <c r="D207" s="1276"/>
      <c r="E207" s="1276"/>
      <c r="F207" s="1276"/>
      <c r="G207" s="1276"/>
      <c r="H207" s="1276"/>
      <c r="I207" s="1276"/>
      <c r="J207" s="1276"/>
      <c r="K207" s="1276"/>
      <c r="L207" s="1276"/>
      <c r="M207" s="1276"/>
      <c r="N207" s="1276"/>
      <c r="O207" s="1276"/>
      <c r="P207" s="1276"/>
      <c r="Q207" s="1277"/>
      <c r="R207" s="531" t="s">
        <v>752</v>
      </c>
      <c r="S207" s="386" t="str">
        <f>IF(ISBLANK(A208),"",A208)</f>
        <v/>
      </c>
      <c r="T207" s="354" t="s">
        <v>193</v>
      </c>
      <c r="U207" s="380"/>
      <c r="V207" s="380"/>
      <c r="W207" s="380"/>
      <c r="X207" s="380"/>
      <c r="Y207" s="380"/>
      <c r="Z207" s="380"/>
      <c r="AA207" s="380"/>
      <c r="AB207" s="380"/>
      <c r="AC207" s="380"/>
      <c r="AD207" s="385"/>
      <c r="AE207" s="122"/>
      <c r="AF207" s="122"/>
      <c r="AG207" s="122"/>
      <c r="AH207" s="122"/>
      <c r="AI207" s="122"/>
      <c r="AJ207" s="122"/>
      <c r="AK207" s="122"/>
      <c r="AL207" s="122"/>
      <c r="AM207" s="122"/>
      <c r="AN207" s="122"/>
      <c r="AO207" s="122"/>
      <c r="AP207" s="122"/>
      <c r="AQ207" s="122"/>
      <c r="AR207" s="122"/>
      <c r="AS207" s="122"/>
      <c r="AT207" s="122"/>
      <c r="AU207" s="122"/>
      <c r="AV207" s="122"/>
      <c r="AW207" s="280"/>
      <c r="AX207" s="280"/>
      <c r="AY207" s="280"/>
      <c r="AZ207" s="280"/>
      <c r="BA207" s="352"/>
    </row>
    <row r="208" spans="1:53" ht="26.25" customHeight="1" x14ac:dyDescent="0.25">
      <c r="A208" s="1278"/>
      <c r="B208" s="1255"/>
      <c r="C208" s="1255"/>
      <c r="D208" s="1255"/>
      <c r="E208" s="1255"/>
      <c r="F208" s="1255"/>
      <c r="G208" s="1255"/>
      <c r="H208" s="1255"/>
      <c r="I208" s="1255"/>
      <c r="J208" s="1255"/>
      <c r="K208" s="1255"/>
      <c r="L208" s="1255"/>
      <c r="M208" s="1255"/>
      <c r="N208" s="1255"/>
      <c r="O208" s="1255"/>
      <c r="P208" s="1255"/>
      <c r="Q208" s="1256"/>
      <c r="R208" s="531" t="s">
        <v>752</v>
      </c>
      <c r="S208" s="380"/>
      <c r="T208" s="389"/>
      <c r="U208" s="380"/>
      <c r="V208" s="380"/>
      <c r="W208" s="380"/>
      <c r="X208" s="380"/>
      <c r="Y208" s="380"/>
      <c r="Z208" s="380"/>
      <c r="AA208" s="380"/>
      <c r="AB208" s="380"/>
      <c r="AC208" s="380"/>
      <c r="AD208" s="385"/>
      <c r="AE208" s="122"/>
      <c r="AF208" s="122"/>
      <c r="AG208" s="122"/>
      <c r="AH208" s="122"/>
      <c r="AI208" s="122"/>
      <c r="AJ208" s="122"/>
      <c r="AK208" s="122"/>
      <c r="AL208" s="122"/>
      <c r="AM208" s="122"/>
      <c r="AN208" s="122"/>
      <c r="AO208" s="122"/>
      <c r="AP208" s="122"/>
      <c r="AQ208" s="122"/>
      <c r="AR208" s="122"/>
      <c r="AS208" s="122"/>
      <c r="AT208" s="122"/>
      <c r="AU208" s="122"/>
      <c r="AV208" s="122"/>
      <c r="AW208" s="280"/>
      <c r="AX208" s="280"/>
      <c r="AY208" s="280"/>
      <c r="AZ208" s="280"/>
      <c r="BA208" s="352"/>
    </row>
    <row r="209" spans="1:52" ht="26.25" customHeight="1" x14ac:dyDescent="0.25">
      <c r="A209" s="1279"/>
      <c r="B209" s="1280"/>
      <c r="C209" s="1280"/>
      <c r="D209" s="1280"/>
      <c r="E209" s="1280"/>
      <c r="F209" s="1280"/>
      <c r="G209" s="1280"/>
      <c r="H209" s="1280"/>
      <c r="I209" s="1280"/>
      <c r="J209" s="1280"/>
      <c r="K209" s="1280"/>
      <c r="L209" s="1280"/>
      <c r="M209" s="1280"/>
      <c r="N209" s="1280"/>
      <c r="O209" s="1280"/>
      <c r="P209" s="1280"/>
      <c r="Q209" s="1281"/>
      <c r="R209" s="531" t="s">
        <v>752</v>
      </c>
      <c r="S209" s="380"/>
      <c r="T209" s="389"/>
      <c r="U209" s="380"/>
      <c r="V209" s="380"/>
      <c r="W209" s="380"/>
      <c r="X209" s="380"/>
      <c r="Y209" s="380"/>
      <c r="Z209" s="380"/>
      <c r="AA209" s="380"/>
      <c r="AB209" s="380"/>
      <c r="AC209" s="380"/>
      <c r="AD209" s="385"/>
      <c r="AE209" s="122"/>
      <c r="AF209" s="122"/>
      <c r="AG209" s="122"/>
      <c r="AH209" s="122"/>
      <c r="AI209" s="122"/>
      <c r="AJ209" s="122"/>
      <c r="AK209" s="122"/>
      <c r="AL209" s="122"/>
      <c r="AM209" s="122"/>
      <c r="AN209" s="122"/>
      <c r="AO209" s="122"/>
      <c r="AP209" s="122"/>
      <c r="AQ209" s="122"/>
      <c r="AR209" s="122"/>
      <c r="AS209" s="122"/>
      <c r="AT209" s="122"/>
      <c r="AU209" s="122"/>
      <c r="AV209" s="122"/>
      <c r="AW209" s="122"/>
      <c r="AX209" s="122"/>
      <c r="AY209" s="122"/>
      <c r="AZ209" s="122"/>
    </row>
    <row r="210" spans="1:52" ht="26.25" customHeight="1" x14ac:dyDescent="0.25">
      <c r="A210" s="1282" t="s">
        <v>647</v>
      </c>
      <c r="B210" s="1283"/>
      <c r="C210" s="1283"/>
      <c r="D210" s="1283"/>
      <c r="E210" s="1283"/>
      <c r="F210" s="1283"/>
      <c r="G210" s="1283"/>
      <c r="H210" s="1283"/>
      <c r="I210" s="1283"/>
      <c r="J210" s="1283"/>
      <c r="K210" s="1283"/>
      <c r="L210" s="1283"/>
      <c r="M210" s="1283"/>
      <c r="N210" s="1283"/>
      <c r="O210" s="1283"/>
      <c r="P210" s="1283"/>
      <c r="Q210" s="1284"/>
      <c r="R210" s="531" t="s">
        <v>752</v>
      </c>
      <c r="S210" s="386" t="str">
        <f>IF(ISBLANK(A211),"",A211)</f>
        <v/>
      </c>
      <c r="T210" s="389" t="s">
        <v>584</v>
      </c>
      <c r="U210" s="380"/>
      <c r="V210" s="380"/>
      <c r="W210" s="380"/>
      <c r="X210" s="380"/>
      <c r="Y210" s="380"/>
      <c r="Z210" s="380"/>
      <c r="AA210" s="380"/>
      <c r="AB210" s="380"/>
      <c r="AC210" s="380"/>
      <c r="AD210" s="385"/>
      <c r="AE210" s="280"/>
      <c r="AF210" s="280"/>
      <c r="AG210" s="280"/>
      <c r="AH210" s="280"/>
      <c r="AI210" s="280"/>
      <c r="AJ210" s="280"/>
      <c r="AK210" s="280"/>
      <c r="AL210" s="280"/>
      <c r="AM210" s="280"/>
      <c r="AN210" s="280"/>
      <c r="AO210" s="280"/>
      <c r="AP210" s="280"/>
      <c r="AQ210" s="280"/>
      <c r="AR210" s="280"/>
      <c r="AS210" s="280"/>
      <c r="AT210" s="280"/>
      <c r="AU210" s="280"/>
      <c r="AV210" s="280"/>
      <c r="AW210" s="122"/>
      <c r="AX210" s="122"/>
      <c r="AY210" s="122"/>
      <c r="AZ210" s="122"/>
    </row>
    <row r="211" spans="1:52" ht="26.25" customHeight="1" x14ac:dyDescent="0.25">
      <c r="A211" s="1278"/>
      <c r="B211" s="1255"/>
      <c r="C211" s="1255"/>
      <c r="D211" s="1255"/>
      <c r="E211" s="1255"/>
      <c r="F211" s="1255"/>
      <c r="G211" s="1255"/>
      <c r="H211" s="1255"/>
      <c r="I211" s="1255"/>
      <c r="J211" s="1255"/>
      <c r="K211" s="1255"/>
      <c r="L211" s="1255"/>
      <c r="M211" s="1255"/>
      <c r="N211" s="1255"/>
      <c r="O211" s="1255"/>
      <c r="P211" s="1255"/>
      <c r="Q211" s="1285"/>
      <c r="R211" s="534" t="s">
        <v>752</v>
      </c>
      <c r="U211" s="380"/>
      <c r="V211" s="380"/>
      <c r="W211" s="380"/>
      <c r="X211" s="380"/>
      <c r="Y211" s="380"/>
      <c r="Z211" s="380"/>
      <c r="AA211" s="388"/>
      <c r="AB211" s="388"/>
      <c r="AC211" s="388"/>
      <c r="AD211" s="385"/>
      <c r="AE211" s="280"/>
      <c r="AF211" s="280"/>
      <c r="AG211" s="280"/>
      <c r="AH211" s="280"/>
      <c r="AI211" s="280"/>
      <c r="AJ211" s="280"/>
      <c r="AK211" s="280"/>
      <c r="AL211" s="280"/>
      <c r="AM211" s="280"/>
      <c r="AN211" s="280"/>
      <c r="AO211" s="280"/>
      <c r="AP211" s="280"/>
      <c r="AQ211" s="280"/>
      <c r="AR211" s="280"/>
      <c r="AS211" s="280"/>
      <c r="AT211" s="280"/>
      <c r="AU211" s="280"/>
      <c r="AV211" s="280"/>
      <c r="AW211" s="280"/>
      <c r="AX211" s="280"/>
      <c r="AY211" s="122"/>
      <c r="AZ211" s="122"/>
    </row>
    <row r="212" spans="1:52" ht="26.25" customHeight="1" thickBot="1" x14ac:dyDescent="0.3">
      <c r="A212" s="1257"/>
      <c r="B212" s="1258"/>
      <c r="C212" s="1258"/>
      <c r="D212" s="1258"/>
      <c r="E212" s="1258"/>
      <c r="F212" s="1258"/>
      <c r="G212" s="1258"/>
      <c r="H212" s="1258"/>
      <c r="I212" s="1258"/>
      <c r="J212" s="1258"/>
      <c r="K212" s="1258"/>
      <c r="L212" s="1258"/>
      <c r="M212" s="1258"/>
      <c r="N212" s="1258"/>
      <c r="O212" s="1258"/>
      <c r="P212" s="1258"/>
      <c r="Q212" s="1259"/>
      <c r="R212" s="534" t="s">
        <v>752</v>
      </c>
      <c r="S212" s="380"/>
      <c r="T212" s="380"/>
      <c r="U212" s="380"/>
      <c r="V212" s="380"/>
      <c r="W212" s="380"/>
      <c r="X212" s="198"/>
      <c r="Y212" s="198"/>
      <c r="Z212" s="198"/>
      <c r="AA212" s="378"/>
      <c r="AB212" s="378"/>
      <c r="AC212" s="378"/>
      <c r="AD212" s="385"/>
      <c r="AE212" s="280"/>
      <c r="AF212" s="280"/>
      <c r="AG212" s="280"/>
      <c r="AH212" s="280"/>
      <c r="AI212" s="280"/>
      <c r="AJ212" s="280"/>
      <c r="AK212" s="280"/>
      <c r="AL212" s="280"/>
      <c r="AM212" s="280"/>
      <c r="AN212" s="280"/>
      <c r="AO212" s="280"/>
      <c r="AP212" s="280"/>
      <c r="AQ212" s="280"/>
      <c r="AR212" s="280"/>
      <c r="AS212" s="280"/>
      <c r="AT212" s="280"/>
      <c r="AU212" s="280"/>
      <c r="AV212" s="280"/>
      <c r="AW212" s="122"/>
      <c r="AX212" s="122"/>
      <c r="AY212" s="122"/>
      <c r="AZ212" s="122"/>
    </row>
    <row r="213" spans="1:52" ht="26.25" customHeight="1" x14ac:dyDescent="0.2">
      <c r="A213" s="1251" t="s">
        <v>649</v>
      </c>
      <c r="B213" s="1252"/>
      <c r="C213" s="1252"/>
      <c r="D213" s="1252"/>
      <c r="E213" s="1252"/>
      <c r="F213" s="1252"/>
      <c r="G213" s="1252"/>
      <c r="H213" s="1252"/>
      <c r="I213" s="1252"/>
      <c r="J213" s="1252"/>
      <c r="K213" s="1252"/>
      <c r="L213" s="1252"/>
      <c r="M213" s="1252"/>
      <c r="N213" s="1252"/>
      <c r="O213" s="1252"/>
      <c r="P213" s="1252"/>
      <c r="Q213" s="1253"/>
      <c r="R213" s="531" t="s">
        <v>752</v>
      </c>
      <c r="S213" s="392" t="str">
        <f>IF(ISBLANK(A214),"",A214)</f>
        <v/>
      </c>
      <c r="T213" s="393" t="s">
        <v>650</v>
      </c>
      <c r="W213" s="380"/>
      <c r="X213" s="378"/>
      <c r="Y213" s="378"/>
      <c r="Z213" s="378"/>
      <c r="AA213" s="380"/>
      <c r="AB213" s="380"/>
      <c r="AC213" s="380"/>
      <c r="AD213" s="198"/>
      <c r="AE213" s="280"/>
      <c r="AF213" s="280"/>
      <c r="AG213" s="280"/>
      <c r="AH213" s="280"/>
      <c r="AI213" s="280"/>
      <c r="AJ213" s="280"/>
      <c r="AK213" s="280"/>
      <c r="AL213" s="280"/>
      <c r="AM213" s="280"/>
      <c r="AN213" s="280"/>
      <c r="AO213" s="280"/>
      <c r="AP213" s="280"/>
      <c r="AQ213" s="280"/>
      <c r="AR213" s="280"/>
      <c r="AS213" s="280"/>
      <c r="AT213" s="280"/>
      <c r="AU213" s="280"/>
      <c r="AV213" s="280"/>
      <c r="AW213" s="122"/>
      <c r="AX213" s="122"/>
      <c r="AY213" s="122"/>
      <c r="AZ213" s="122"/>
    </row>
    <row r="214" spans="1:52" ht="26.25" customHeight="1" x14ac:dyDescent="0.25">
      <c r="A214" s="1278"/>
      <c r="B214" s="1255"/>
      <c r="C214" s="1255"/>
      <c r="D214" s="1255"/>
      <c r="E214" s="1255"/>
      <c r="F214" s="1255"/>
      <c r="G214" s="1255"/>
      <c r="H214" s="1255"/>
      <c r="I214" s="1255"/>
      <c r="J214" s="1255"/>
      <c r="K214" s="1255"/>
      <c r="L214" s="1255"/>
      <c r="M214" s="1255"/>
      <c r="N214" s="1255"/>
      <c r="O214" s="1255"/>
      <c r="P214" s="1255"/>
      <c r="Q214" s="1256"/>
      <c r="R214" s="531" t="s">
        <v>752</v>
      </c>
      <c r="W214" s="380"/>
      <c r="X214" s="380"/>
      <c r="Y214" s="380"/>
      <c r="Z214" s="380"/>
      <c r="AA214" s="380"/>
      <c r="AB214" s="380"/>
      <c r="AC214" s="380"/>
      <c r="AD214" s="385"/>
      <c r="AE214" s="122"/>
      <c r="AF214" s="122"/>
      <c r="AG214" s="122"/>
      <c r="AH214" s="122"/>
      <c r="AI214" s="122"/>
      <c r="AJ214" s="122"/>
      <c r="AK214" s="122"/>
      <c r="AL214" s="122"/>
      <c r="AM214" s="122"/>
      <c r="AN214" s="122"/>
      <c r="AO214" s="122"/>
      <c r="AP214" s="122"/>
      <c r="AQ214" s="122"/>
      <c r="AR214" s="122"/>
      <c r="AS214" s="122"/>
      <c r="AT214" s="122"/>
      <c r="AU214" s="122"/>
      <c r="AV214" s="122"/>
      <c r="AW214" s="122"/>
      <c r="AX214" s="122"/>
      <c r="AY214" s="122"/>
      <c r="AZ214" s="122"/>
    </row>
    <row r="215" spans="1:52" ht="26.25" customHeight="1" thickBot="1" x14ac:dyDescent="0.3">
      <c r="A215" s="1257"/>
      <c r="B215" s="1258"/>
      <c r="C215" s="1258"/>
      <c r="D215" s="1258"/>
      <c r="E215" s="1258"/>
      <c r="F215" s="1258"/>
      <c r="G215" s="1258"/>
      <c r="H215" s="1258"/>
      <c r="I215" s="1258"/>
      <c r="J215" s="1258"/>
      <c r="K215" s="1258"/>
      <c r="L215" s="1258"/>
      <c r="M215" s="1258"/>
      <c r="N215" s="1258"/>
      <c r="O215" s="1258"/>
      <c r="P215" s="1258"/>
      <c r="Q215" s="1259"/>
      <c r="R215" s="531" t="s">
        <v>752</v>
      </c>
      <c r="S215" s="352"/>
      <c r="T215" s="352"/>
      <c r="U215" s="352"/>
      <c r="V215" s="352"/>
      <c r="W215" s="380"/>
      <c r="X215" s="380"/>
      <c r="Y215" s="380"/>
      <c r="Z215" s="380"/>
      <c r="AA215" s="380"/>
      <c r="AB215" s="380"/>
      <c r="AC215" s="380"/>
      <c r="AD215" s="385"/>
      <c r="AE215" s="122"/>
      <c r="AF215" s="122"/>
      <c r="AG215" s="122"/>
      <c r="AH215" s="122"/>
      <c r="AI215" s="122"/>
      <c r="AJ215" s="122"/>
      <c r="AK215" s="122"/>
      <c r="AL215" s="122"/>
      <c r="AM215" s="122"/>
      <c r="AN215" s="122"/>
      <c r="AO215" s="122"/>
      <c r="AP215" s="122"/>
      <c r="AQ215" s="122"/>
      <c r="AR215" s="122"/>
      <c r="AS215" s="122"/>
      <c r="AT215" s="122"/>
      <c r="AU215" s="122"/>
      <c r="AV215" s="122"/>
      <c r="AW215" s="122"/>
      <c r="AX215" s="122"/>
      <c r="AY215" s="122"/>
      <c r="AZ215" s="122"/>
    </row>
    <row r="216" spans="1:52" ht="26.25" customHeight="1" x14ac:dyDescent="0.2">
      <c r="A216" s="1260" t="s">
        <v>651</v>
      </c>
      <c r="B216" s="1261"/>
      <c r="C216" s="1261"/>
      <c r="D216" s="1261"/>
      <c r="E216" s="1261"/>
      <c r="F216" s="1261"/>
      <c r="G216" s="1261"/>
      <c r="H216" s="1261"/>
      <c r="I216" s="1261"/>
      <c r="J216" s="1261"/>
      <c r="K216" s="1261"/>
      <c r="L216" s="1261"/>
      <c r="M216" s="1261"/>
      <c r="N216" s="1261"/>
      <c r="O216" s="1261"/>
      <c r="P216" s="1261"/>
      <c r="Q216" s="1262"/>
      <c r="R216" s="531" t="s">
        <v>752</v>
      </c>
      <c r="S216" s="395"/>
      <c r="T216" s="396"/>
      <c r="U216" s="390"/>
      <c r="V216" s="390"/>
      <c r="W216" s="198"/>
      <c r="X216" s="380"/>
      <c r="Y216" s="380"/>
      <c r="Z216" s="380"/>
      <c r="AA216" s="380"/>
      <c r="AB216" s="380"/>
      <c r="AC216" s="380"/>
      <c r="AD216" s="198"/>
      <c r="AE216" s="122"/>
      <c r="AF216" s="122"/>
      <c r="AG216" s="122"/>
      <c r="AH216" s="122"/>
      <c r="AI216" s="122"/>
      <c r="AJ216" s="122"/>
      <c r="AK216" s="122"/>
      <c r="AL216" s="122"/>
      <c r="AM216" s="122"/>
      <c r="AN216" s="122"/>
      <c r="AO216" s="122"/>
      <c r="AP216" s="122"/>
      <c r="AQ216" s="122"/>
      <c r="AR216" s="122"/>
      <c r="AS216" s="122"/>
      <c r="AT216" s="122"/>
      <c r="AU216" s="122"/>
      <c r="AV216" s="122"/>
      <c r="AW216" s="122"/>
      <c r="AX216" s="122"/>
      <c r="AY216" s="122"/>
      <c r="AZ216" s="122"/>
    </row>
    <row r="217" spans="1:52" ht="26.25" customHeight="1" x14ac:dyDescent="0.2">
      <c r="A217" s="1263"/>
      <c r="B217" s="1264"/>
      <c r="C217" s="1264"/>
      <c r="D217" s="1264"/>
      <c r="E217" s="1264"/>
      <c r="F217" s="1264"/>
      <c r="G217" s="1264"/>
      <c r="H217" s="1264"/>
      <c r="I217" s="1264"/>
      <c r="J217" s="1264"/>
      <c r="K217" s="1264"/>
      <c r="L217" s="1264"/>
      <c r="M217" s="1264"/>
      <c r="N217" s="1264"/>
      <c r="O217" s="1264"/>
      <c r="P217" s="1264"/>
      <c r="Q217" s="1265"/>
      <c r="R217" s="531" t="s">
        <v>752</v>
      </c>
      <c r="S217" s="397" t="str">
        <f>IF(ISBLANK(A217),"",CONCATENATE(S216,A217))</f>
        <v/>
      </c>
      <c r="T217" s="354" t="s">
        <v>195</v>
      </c>
      <c r="U217" s="183"/>
      <c r="V217" s="183"/>
      <c r="W217" s="378"/>
      <c r="X217" s="380"/>
      <c r="Y217" s="380"/>
      <c r="Z217" s="380"/>
      <c r="AA217" s="380"/>
      <c r="AB217" s="380"/>
      <c r="AC217" s="380"/>
      <c r="AD217" s="198"/>
      <c r="AE217" s="122"/>
      <c r="AF217" s="122"/>
      <c r="AG217" s="122"/>
      <c r="AH217" s="122"/>
      <c r="AI217" s="122"/>
      <c r="AJ217" s="122"/>
      <c r="AK217" s="122"/>
      <c r="AL217" s="122"/>
      <c r="AM217" s="122"/>
      <c r="AN217" s="122"/>
      <c r="AO217" s="122"/>
      <c r="AP217" s="122"/>
      <c r="AQ217" s="122"/>
      <c r="AR217" s="122"/>
      <c r="AS217" s="122"/>
      <c r="AT217" s="122"/>
      <c r="AU217" s="122"/>
      <c r="AV217" s="122"/>
      <c r="AW217" s="122"/>
      <c r="AX217" s="122"/>
      <c r="AY217" s="122"/>
      <c r="AZ217" s="122"/>
    </row>
    <row r="218" spans="1:52" ht="26.25" customHeight="1" thickBot="1" x14ac:dyDescent="0.25">
      <c r="A218" s="1266"/>
      <c r="B218" s="1267"/>
      <c r="C218" s="1267"/>
      <c r="D218" s="1267"/>
      <c r="E218" s="1267"/>
      <c r="F218" s="1267"/>
      <c r="G218" s="1267"/>
      <c r="H218" s="1267"/>
      <c r="I218" s="1267"/>
      <c r="J218" s="1267"/>
      <c r="K218" s="1267"/>
      <c r="L218" s="1267"/>
      <c r="M218" s="1267"/>
      <c r="N218" s="1267"/>
      <c r="O218" s="1267"/>
      <c r="P218" s="1267"/>
      <c r="Q218" s="1268"/>
      <c r="R218" s="531" t="s">
        <v>752</v>
      </c>
      <c r="S218" s="198"/>
      <c r="T218" s="198"/>
      <c r="U218" s="198"/>
      <c r="V218" s="198"/>
      <c r="W218" s="380"/>
      <c r="X218" s="380"/>
      <c r="Y218" s="380"/>
      <c r="Z218" s="380"/>
      <c r="AA218" s="380"/>
      <c r="AB218" s="380"/>
      <c r="AC218" s="380"/>
      <c r="AD218" s="198"/>
      <c r="AE218" s="122"/>
      <c r="AF218" s="122"/>
      <c r="AG218" s="122"/>
      <c r="AH218" s="122"/>
      <c r="AI218" s="122"/>
      <c r="AJ218" s="122"/>
      <c r="AK218" s="122"/>
      <c r="AL218" s="122"/>
      <c r="AM218" s="122"/>
      <c r="AN218" s="122"/>
      <c r="AO218" s="122"/>
      <c r="AP218" s="122"/>
      <c r="AQ218" s="122"/>
      <c r="AR218" s="122"/>
      <c r="AS218" s="122"/>
      <c r="AT218" s="122"/>
      <c r="AU218" s="122"/>
      <c r="AV218" s="122"/>
      <c r="AW218" s="122"/>
      <c r="AX218" s="122"/>
      <c r="AY218" s="122"/>
      <c r="AZ218" s="122"/>
    </row>
    <row r="219" spans="1:52" ht="26.25" customHeight="1" thickBot="1" x14ac:dyDescent="0.25">
      <c r="A219" s="1369" t="e">
        <f>$A$1</f>
        <v>#N/A</v>
      </c>
      <c r="B219" s="1369"/>
      <c r="C219" s="1369"/>
      <c r="D219" s="1369"/>
      <c r="E219" s="1369"/>
      <c r="F219" s="1369"/>
      <c r="G219" s="1369"/>
      <c r="H219" s="1369"/>
      <c r="I219" s="1369"/>
      <c r="J219" s="1369"/>
      <c r="K219" s="1369"/>
      <c r="L219" s="1369"/>
      <c r="M219" s="1369"/>
      <c r="N219" s="1369"/>
      <c r="O219" s="1369"/>
      <c r="P219" s="1369"/>
      <c r="Q219" s="1369"/>
      <c r="R219" s="531" t="s">
        <v>752</v>
      </c>
      <c r="S219" s="388"/>
      <c r="T219" s="388"/>
      <c r="U219" s="388"/>
      <c r="V219" s="388"/>
      <c r="W219" s="380"/>
      <c r="X219" s="380"/>
      <c r="Y219" s="380"/>
      <c r="Z219" s="380"/>
      <c r="AA219" s="380"/>
      <c r="AB219" s="380"/>
      <c r="AC219" s="380"/>
      <c r="AD219" s="198"/>
      <c r="AE219" s="122"/>
      <c r="AF219" s="122"/>
      <c r="AG219" s="122"/>
      <c r="AH219" s="122"/>
      <c r="AI219" s="122"/>
      <c r="AJ219" s="122"/>
      <c r="AK219" s="122"/>
      <c r="AL219" s="122"/>
      <c r="AM219" s="122"/>
      <c r="AN219" s="122"/>
      <c r="AO219" s="122"/>
      <c r="AP219" s="122"/>
      <c r="AQ219" s="122"/>
      <c r="AR219" s="122"/>
      <c r="AS219" s="122"/>
      <c r="AT219" s="122"/>
      <c r="AU219" s="122"/>
      <c r="AV219" s="122"/>
      <c r="AW219" s="122"/>
      <c r="AX219" s="122"/>
      <c r="AY219" s="122"/>
      <c r="AZ219" s="122"/>
    </row>
    <row r="220" spans="1:52" ht="26.25" customHeight="1" thickBot="1" x14ac:dyDescent="0.25">
      <c r="A220" s="1364" t="s">
        <v>202</v>
      </c>
      <c r="B220" s="1365"/>
      <c r="C220" s="1365"/>
      <c r="D220" s="1365"/>
      <c r="E220" s="1365"/>
      <c r="F220" s="1365"/>
      <c r="G220" s="1365"/>
      <c r="H220" s="1365"/>
      <c r="I220" s="1365"/>
      <c r="J220" s="1365"/>
      <c r="K220" s="1365"/>
      <c r="L220" s="1365"/>
      <c r="M220" s="1365"/>
      <c r="N220" s="1366" t="str">
        <f>$N$5</f>
        <v>2024 Report Year</v>
      </c>
      <c r="O220" s="1367"/>
      <c r="P220" s="1367"/>
      <c r="Q220" s="1368"/>
      <c r="R220" s="534" t="s">
        <v>752</v>
      </c>
      <c r="S220" s="394"/>
      <c r="T220" s="394"/>
      <c r="U220" s="394"/>
      <c r="V220" s="394"/>
      <c r="W220" s="380"/>
      <c r="X220" s="380"/>
      <c r="Y220" s="380"/>
      <c r="Z220" s="380"/>
      <c r="AA220" s="380"/>
      <c r="AB220" s="380"/>
      <c r="AC220" s="380"/>
      <c r="AD220" s="198"/>
      <c r="AE220" s="122"/>
      <c r="AF220" s="122"/>
      <c r="AG220" s="122"/>
      <c r="AH220" s="122"/>
      <c r="AI220" s="122"/>
      <c r="AJ220" s="122"/>
      <c r="AK220" s="122"/>
      <c r="AL220" s="122"/>
      <c r="AM220" s="122"/>
      <c r="AN220" s="122"/>
      <c r="AO220" s="122"/>
      <c r="AP220" s="122"/>
      <c r="AQ220" s="122"/>
      <c r="AR220" s="122"/>
      <c r="AS220" s="122"/>
      <c r="AT220" s="122"/>
      <c r="AU220" s="122"/>
      <c r="AV220" s="122"/>
      <c r="AW220" s="122"/>
      <c r="AX220" s="122"/>
      <c r="AY220" s="122"/>
    </row>
    <row r="221" spans="1:52" ht="26.25" customHeight="1" x14ac:dyDescent="0.2">
      <c r="A221" s="1351" t="str">
        <f>IF(AND(OR(ISNA(cap_exp_contact),TRIM(cap_exp_contact)=""),NOT(ISBLANK(code_7594))),"The Capital Expenditure Contact information has NOT been provided.  Please complete this information now.","")</f>
        <v/>
      </c>
      <c r="B221" s="1352"/>
      <c r="C221" s="1352"/>
      <c r="D221" s="1352"/>
      <c r="E221" s="1352"/>
      <c r="F221" s="1352"/>
      <c r="G221" s="1352"/>
      <c r="H221" s="1352"/>
      <c r="I221" s="1352"/>
      <c r="J221" s="1352"/>
      <c r="K221" s="1352"/>
      <c r="L221" s="1352"/>
      <c r="M221" s="1352"/>
      <c r="N221" s="343" t="s">
        <v>602</v>
      </c>
      <c r="O221" s="344" t="e">
        <f>$O$6</f>
        <v>#N/A</v>
      </c>
      <c r="P221" s="345" t="s">
        <v>603</v>
      </c>
      <c r="Q221" s="346" t="e">
        <f>IF(ISBLANK(Q178),"",Q178+1)</f>
        <v>#VALUE!</v>
      </c>
      <c r="R221" s="534" t="s">
        <v>752</v>
      </c>
      <c r="S221" s="198"/>
      <c r="T221" s="198"/>
      <c r="U221" s="198"/>
      <c r="V221" s="198"/>
      <c r="W221" s="380"/>
      <c r="X221" s="380"/>
      <c r="Y221" s="380"/>
      <c r="Z221" s="380"/>
      <c r="AA221" s="380"/>
      <c r="AB221" s="380"/>
      <c r="AC221" s="380"/>
      <c r="AD221" s="198"/>
      <c r="AE221" s="122"/>
      <c r="AF221" s="122"/>
      <c r="AG221" s="122"/>
      <c r="AH221" s="122"/>
      <c r="AI221" s="122"/>
      <c r="AJ221" s="122"/>
      <c r="AK221" s="122"/>
      <c r="AL221" s="122"/>
      <c r="AM221" s="122"/>
      <c r="AN221" s="122"/>
      <c r="AO221" s="122"/>
      <c r="AP221" s="122"/>
      <c r="AQ221" s="122"/>
      <c r="AR221" s="122"/>
      <c r="AS221" s="122"/>
      <c r="AT221" s="122"/>
      <c r="AU221" s="122"/>
      <c r="AV221" s="122"/>
      <c r="AW221" s="122"/>
      <c r="AX221" s="122"/>
      <c r="AY221" s="122"/>
    </row>
    <row r="222" spans="1:52" ht="26.25" customHeight="1" thickBot="1" x14ac:dyDescent="0.25">
      <c r="A222" s="1353" t="s">
        <v>197</v>
      </c>
      <c r="B222" s="1354"/>
      <c r="C222" s="1354"/>
      <c r="D222" s="1354"/>
      <c r="E222" s="1355"/>
      <c r="F222" s="1356"/>
      <c r="G222" s="1356"/>
      <c r="H222" s="1356"/>
      <c r="I222" s="1356"/>
      <c r="J222" s="1356"/>
      <c r="K222" s="1356"/>
      <c r="L222" s="1357"/>
      <c r="M222" s="550" t="s">
        <v>752</v>
      </c>
      <c r="N222" s="1358" t="s">
        <v>604</v>
      </c>
      <c r="O222" s="1359"/>
      <c r="P222" s="1359"/>
      <c r="Q222" s="1360"/>
      <c r="R222" s="531" t="s">
        <v>752</v>
      </c>
      <c r="S222" s="348" t="str">
        <f>IF(ISBLANK(E222),"",E222)</f>
        <v/>
      </c>
      <c r="T222" s="143" t="s">
        <v>495</v>
      </c>
      <c r="U222" s="280"/>
      <c r="V222" s="280"/>
      <c r="W222" s="380"/>
      <c r="X222" s="380"/>
      <c r="Y222" s="380"/>
      <c r="Z222" s="380"/>
      <c r="AA222" s="198"/>
      <c r="AB222" s="198"/>
      <c r="AC222" s="198"/>
      <c r="AD222" s="198"/>
      <c r="AE222" s="122"/>
      <c r="AF222" s="122"/>
      <c r="AG222" s="122"/>
      <c r="AH222" s="122"/>
      <c r="AI222" s="122"/>
      <c r="AJ222" s="122"/>
      <c r="AK222" s="122"/>
      <c r="AL222" s="122"/>
      <c r="AM222" s="122"/>
      <c r="AN222" s="122"/>
      <c r="AO222" s="122"/>
      <c r="AP222" s="122"/>
      <c r="AQ222" s="122"/>
      <c r="AR222" s="122"/>
      <c r="AS222" s="122"/>
      <c r="AT222" s="122"/>
      <c r="AU222" s="122"/>
      <c r="AV222" s="122"/>
      <c r="AW222" s="122"/>
      <c r="AX222" s="122"/>
      <c r="AY222" s="122"/>
    </row>
    <row r="223" spans="1:52" ht="26.25" customHeight="1" x14ac:dyDescent="0.2">
      <c r="A223" s="1361" t="s">
        <v>605</v>
      </c>
      <c r="B223" s="1362"/>
      <c r="C223" s="1362"/>
      <c r="D223" s="1363"/>
      <c r="E223" s="1339"/>
      <c r="F223" s="1340"/>
      <c r="G223" s="1340"/>
      <c r="H223" s="1340"/>
      <c r="I223" s="1340"/>
      <c r="J223" s="1340"/>
      <c r="K223" s="1340"/>
      <c r="L223" s="1341"/>
      <c r="M223" s="1342" t="str">
        <f>IF(AND(ISBLANK(E223),OR(NOT(ISBLANK(E224)),NOT(ISBLANK(E225)),NOT(ISBLANK(E226)),NOT(ISBLANK(I227)),NOT(ISBLANK(A229)))),"This information is required.","")</f>
        <v/>
      </c>
      <c r="N223" s="1343"/>
      <c r="O223" s="1343"/>
      <c r="P223" s="1343"/>
      <c r="Q223" s="551" t="s">
        <v>752</v>
      </c>
      <c r="R223" s="531" t="s">
        <v>752</v>
      </c>
      <c r="S223" s="348" t="str">
        <f>IF(ISBLANK(E223),"",E223)</f>
        <v/>
      </c>
      <c r="T223" s="143" t="s">
        <v>185</v>
      </c>
      <c r="U223" s="280"/>
      <c r="V223" s="280"/>
      <c r="W223" s="380"/>
      <c r="X223" s="388"/>
      <c r="Y223" s="388"/>
      <c r="Z223" s="388"/>
      <c r="AA223" s="382"/>
      <c r="AB223" s="382"/>
      <c r="AC223" s="382"/>
      <c r="AD223" s="198"/>
      <c r="AE223" s="122"/>
      <c r="AF223" s="122"/>
      <c r="AG223" s="122"/>
      <c r="AH223" s="122"/>
      <c r="AI223" s="122"/>
      <c r="AJ223" s="122"/>
      <c r="AK223" s="122"/>
      <c r="AL223" s="122"/>
      <c r="AM223" s="122"/>
      <c r="AN223" s="122"/>
      <c r="AO223" s="122"/>
      <c r="AP223" s="122"/>
      <c r="AQ223" s="122"/>
      <c r="AR223" s="122"/>
      <c r="AS223" s="122"/>
      <c r="AT223" s="122"/>
      <c r="AU223" s="122"/>
      <c r="AV223" s="122"/>
      <c r="AW223" s="122"/>
      <c r="AX223" s="122"/>
      <c r="AY223" s="122"/>
    </row>
    <row r="224" spans="1:52" ht="26.25" customHeight="1" x14ac:dyDescent="0.2">
      <c r="A224" s="1325" t="s">
        <v>606</v>
      </c>
      <c r="B224" s="1326"/>
      <c r="C224" s="1326"/>
      <c r="D224" s="1327"/>
      <c r="E224" s="1339"/>
      <c r="F224" s="1340"/>
      <c r="G224" s="1340"/>
      <c r="H224" s="1340"/>
      <c r="I224" s="1340"/>
      <c r="J224" s="1340"/>
      <c r="K224" s="1340"/>
      <c r="L224" s="1341"/>
      <c r="M224" s="1342" t="str">
        <f>IF(AND(ISBLANK(E224),OR(NOT(ISBLANK(E223)),NOT(ISBLANK(E225)),NOT(ISBLANK(E226)),NOT(ISBLANK(I227)),NOT(ISBLANK(A229)))),"This information is required.","")</f>
        <v/>
      </c>
      <c r="N224" s="1343"/>
      <c r="O224" s="1343"/>
      <c r="P224" s="1343"/>
      <c r="Q224" s="551" t="s">
        <v>752</v>
      </c>
      <c r="R224" s="531" t="s">
        <v>752</v>
      </c>
      <c r="S224" s="348" t="str">
        <f>IF(ISBLANK(E224),"",E224)</f>
        <v/>
      </c>
      <c r="T224" s="143" t="s">
        <v>186</v>
      </c>
      <c r="U224" s="280"/>
      <c r="V224" s="280"/>
      <c r="W224" s="380"/>
      <c r="X224" s="394"/>
      <c r="Y224" s="394"/>
      <c r="Z224" s="394"/>
      <c r="AA224" s="380"/>
      <c r="AB224" s="380"/>
      <c r="AC224" s="380"/>
      <c r="AD224" s="198"/>
      <c r="AE224" s="122"/>
      <c r="AF224" s="122"/>
      <c r="AG224" s="122"/>
      <c r="AH224" s="122"/>
      <c r="AI224" s="122"/>
      <c r="AJ224" s="122"/>
      <c r="AK224" s="122"/>
      <c r="AL224" s="122"/>
      <c r="AM224" s="122"/>
      <c r="AN224" s="122"/>
      <c r="AO224" s="122"/>
      <c r="AP224" s="122"/>
      <c r="AQ224" s="122"/>
      <c r="AR224" s="122"/>
      <c r="AS224" s="122"/>
      <c r="AT224" s="122"/>
      <c r="AU224" s="122"/>
      <c r="AV224" s="122"/>
      <c r="AW224" s="122"/>
      <c r="AX224" s="122"/>
      <c r="AY224" s="122"/>
    </row>
    <row r="225" spans="1:51" ht="26.25" customHeight="1" x14ac:dyDescent="0.2">
      <c r="A225" s="1344" t="s">
        <v>607</v>
      </c>
      <c r="B225" s="1345"/>
      <c r="C225" s="1345"/>
      <c r="D225" s="1346"/>
      <c r="E225" s="1347"/>
      <c r="F225" s="1348"/>
      <c r="G225" s="1349" t="s">
        <v>608</v>
      </c>
      <c r="H225" s="1349"/>
      <c r="I225" s="1349"/>
      <c r="J225" s="1349"/>
      <c r="K225" s="1349"/>
      <c r="L225" s="1349"/>
      <c r="M225" s="1350" t="str">
        <f>IF(AND(ISBLANK(E225),OR(NOT(ISBLANK(E223)),NOT(ISBLANK(E224)),NOT(ISBLANK(E226)),NOT(ISBLANK(I227)),NOT(ISBLANK(A229)))),"This information is required.","")</f>
        <v/>
      </c>
      <c r="N225" s="1202"/>
      <c r="O225" s="1202"/>
      <c r="P225" s="1202"/>
      <c r="Q225" s="532" t="s">
        <v>752</v>
      </c>
      <c r="R225" s="531" t="s">
        <v>752</v>
      </c>
      <c r="S225" s="350" t="str">
        <f>IF(ISBLANK(E225),"",E225)</f>
        <v/>
      </c>
      <c r="T225" s="351" t="s">
        <v>188</v>
      </c>
      <c r="U225" s="349"/>
      <c r="V225" s="349"/>
      <c r="W225" s="380"/>
      <c r="X225" s="198"/>
      <c r="Y225" s="198"/>
      <c r="Z225" s="198"/>
      <c r="AA225" s="380"/>
      <c r="AB225" s="380"/>
      <c r="AC225" s="380"/>
      <c r="AD225" s="198"/>
      <c r="AE225" s="122"/>
      <c r="AF225" s="122"/>
      <c r="AG225" s="122"/>
      <c r="AH225" s="122"/>
      <c r="AI225" s="122"/>
      <c r="AJ225" s="122"/>
      <c r="AK225" s="122"/>
      <c r="AL225" s="122"/>
      <c r="AM225" s="122"/>
      <c r="AN225" s="122"/>
      <c r="AO225" s="122"/>
      <c r="AP225" s="122"/>
      <c r="AQ225" s="122"/>
      <c r="AR225" s="122"/>
      <c r="AS225" s="122"/>
      <c r="AT225" s="122"/>
      <c r="AU225" s="122"/>
      <c r="AV225" s="122"/>
      <c r="AW225" s="122"/>
      <c r="AX225" s="122"/>
      <c r="AY225" s="122"/>
    </row>
    <row r="226" spans="1:51" ht="26.25" customHeight="1" x14ac:dyDescent="0.2">
      <c r="A226" s="1325" t="s">
        <v>609</v>
      </c>
      <c r="B226" s="1326"/>
      <c r="C226" s="1326"/>
      <c r="D226" s="1327"/>
      <c r="E226" s="1328"/>
      <c r="F226" s="1329"/>
      <c r="G226" s="1337" t="s">
        <v>752</v>
      </c>
      <c r="H226" s="1338"/>
      <c r="I226" s="1338"/>
      <c r="J226" s="1338"/>
      <c r="K226" s="1338"/>
      <c r="L226" s="1338"/>
      <c r="M226" s="1202" t="str">
        <f>IF(AND(ISBLANK(E226),OR(NOT(ISBLANK(E223)),NOT(ISBLANK(E224)),NOT(ISBLANK(E225)),NOT(ISBLANK(I227)),NOT(ISBLANK(A229)))),"This information is required.","")</f>
        <v/>
      </c>
      <c r="N226" s="1202"/>
      <c r="O226" s="1202"/>
      <c r="P226" s="1202"/>
      <c r="Q226" s="532" t="s">
        <v>752</v>
      </c>
      <c r="R226" s="531" t="s">
        <v>752</v>
      </c>
      <c r="S226" s="353" t="str">
        <f>IF(ISBLANK(E226),"",E226)</f>
        <v/>
      </c>
      <c r="T226" s="354" t="s">
        <v>189</v>
      </c>
      <c r="U226" s="318"/>
      <c r="V226" s="318"/>
      <c r="W226" s="380"/>
      <c r="X226" s="198"/>
      <c r="Y226" s="198"/>
      <c r="Z226" s="198"/>
      <c r="AA226" s="380"/>
      <c r="AB226" s="380"/>
      <c r="AC226" s="380"/>
      <c r="AD226" s="198"/>
      <c r="AE226" s="122"/>
      <c r="AF226" s="122"/>
      <c r="AG226" s="122"/>
      <c r="AH226" s="122"/>
      <c r="AI226" s="122"/>
      <c r="AJ226" s="122"/>
      <c r="AK226" s="122"/>
      <c r="AL226" s="122"/>
      <c r="AM226" s="122"/>
      <c r="AN226" s="122"/>
      <c r="AO226" s="122"/>
      <c r="AP226" s="122"/>
      <c r="AQ226" s="122"/>
      <c r="AR226" s="122"/>
      <c r="AS226" s="122"/>
      <c r="AT226" s="122"/>
      <c r="AU226" s="122"/>
      <c r="AV226" s="122"/>
      <c r="AW226" s="122"/>
      <c r="AX226" s="122"/>
      <c r="AY226" s="122"/>
    </row>
    <row r="227" spans="1:51" ht="26.25" customHeight="1" thickBot="1" x14ac:dyDescent="0.25">
      <c r="A227" s="1330" t="s">
        <v>610</v>
      </c>
      <c r="B227" s="1331"/>
      <c r="C227" s="1331"/>
      <c r="D227" s="1331"/>
      <c r="E227" s="1332"/>
      <c r="F227" s="1332"/>
      <c r="G227" s="1332"/>
      <c r="H227" s="1332"/>
      <c r="I227" s="1333"/>
      <c r="J227" s="1333"/>
      <c r="K227" s="1334" t="s">
        <v>611</v>
      </c>
      <c r="L227" s="1335"/>
      <c r="M227" s="1336" t="str">
        <f>IF(AND(ISBLANK(I227),OR(NOT(ISBLANK(E223)),NOT(ISBLANK(E224)),NOT(ISBLANK(E225)),NOT(ISBLANK(E226)),NOT(ISBLANK(A229)))),"This information is required!","")</f>
        <v/>
      </c>
      <c r="N227" s="1336"/>
      <c r="O227" s="1336"/>
      <c r="P227" s="1336"/>
      <c r="Q227" s="553" t="s">
        <v>752</v>
      </c>
      <c r="R227" s="531" t="s">
        <v>752</v>
      </c>
      <c r="S227" s="353" t="str">
        <f>IF(ISBLANK(I227),"",I227)</f>
        <v/>
      </c>
      <c r="T227" s="354" t="s">
        <v>190</v>
      </c>
      <c r="U227" s="355"/>
      <c r="V227" s="355"/>
      <c r="W227" s="388"/>
      <c r="X227" s="198"/>
      <c r="Y227" s="198"/>
      <c r="Z227" s="198"/>
      <c r="AA227" s="380"/>
      <c r="AB227" s="380"/>
      <c r="AC227" s="380"/>
      <c r="AD227" s="198"/>
      <c r="AE227" s="122"/>
      <c r="AF227" s="122"/>
      <c r="AG227" s="122"/>
      <c r="AH227" s="122"/>
      <c r="AI227" s="122"/>
      <c r="AJ227" s="122"/>
      <c r="AK227" s="122"/>
      <c r="AL227" s="122"/>
      <c r="AM227" s="122"/>
      <c r="AN227" s="122"/>
      <c r="AO227" s="122"/>
      <c r="AP227" s="122"/>
      <c r="AQ227" s="122"/>
      <c r="AR227" s="122"/>
      <c r="AS227" s="122"/>
      <c r="AT227" s="122"/>
      <c r="AU227" s="122"/>
      <c r="AV227" s="122"/>
      <c r="AW227" s="122"/>
      <c r="AX227" s="122"/>
      <c r="AY227" s="122"/>
    </row>
    <row r="228" spans="1:51" ht="26.25" customHeight="1" x14ac:dyDescent="0.2">
      <c r="A228" s="1251" t="s">
        <v>613</v>
      </c>
      <c r="B228" s="1252"/>
      <c r="C228" s="1252"/>
      <c r="D228" s="1252"/>
      <c r="E228" s="1252"/>
      <c r="F228" s="1252"/>
      <c r="G228" s="1252"/>
      <c r="H228" s="1252"/>
      <c r="I228" s="1252"/>
      <c r="J228" s="1317"/>
      <c r="K228" s="1318" t="s">
        <v>679</v>
      </c>
      <c r="L228" s="1318"/>
      <c r="M228" s="1318"/>
      <c r="N228" s="1318"/>
      <c r="O228" s="1320" t="s">
        <v>614</v>
      </c>
      <c r="P228" s="1320"/>
      <c r="Q228" s="1321"/>
      <c r="R228" s="531" t="s">
        <v>752</v>
      </c>
      <c r="S228" s="353" t="str">
        <f>IF(ISBLANK(A229),"",A229)</f>
        <v/>
      </c>
      <c r="T228" s="354" t="s">
        <v>191</v>
      </c>
      <c r="U228" s="357"/>
      <c r="V228" s="357"/>
      <c r="W228" s="394"/>
      <c r="X228" s="198"/>
      <c r="Y228" s="198"/>
      <c r="Z228" s="198"/>
      <c r="AA228" s="380"/>
      <c r="AB228" s="380"/>
      <c r="AC228" s="380"/>
      <c r="AD228" s="198"/>
      <c r="AE228" s="122"/>
      <c r="AF228" s="122"/>
      <c r="AG228" s="122"/>
      <c r="AH228" s="122"/>
      <c r="AI228" s="122"/>
      <c r="AJ228" s="122"/>
      <c r="AK228" s="122"/>
      <c r="AL228" s="122"/>
      <c r="AM228" s="122"/>
      <c r="AN228" s="122"/>
      <c r="AO228" s="122"/>
      <c r="AP228" s="122"/>
      <c r="AQ228" s="122"/>
      <c r="AR228" s="122"/>
      <c r="AS228" s="122"/>
      <c r="AT228" s="122"/>
      <c r="AU228" s="122"/>
      <c r="AV228" s="122"/>
      <c r="AW228" s="122"/>
      <c r="AX228" s="122"/>
      <c r="AY228" s="122"/>
    </row>
    <row r="229" spans="1:51" ht="26.25" customHeight="1" x14ac:dyDescent="0.2">
      <c r="A229" s="1263"/>
      <c r="B229" s="1264"/>
      <c r="C229" s="1264"/>
      <c r="D229" s="1264"/>
      <c r="E229" s="1264"/>
      <c r="F229" s="1264"/>
      <c r="G229" s="1264"/>
      <c r="H229" s="1264"/>
      <c r="I229" s="1264"/>
      <c r="J229" s="1305"/>
      <c r="K229" s="1319"/>
      <c r="L229" s="1319"/>
      <c r="M229" s="1319"/>
      <c r="N229" s="1319"/>
      <c r="O229" s="555" t="s">
        <v>752</v>
      </c>
      <c r="P229" s="214" t="s">
        <v>265</v>
      </c>
      <c r="Q229" s="358" t="s">
        <v>266</v>
      </c>
      <c r="R229" s="531" t="s">
        <v>752</v>
      </c>
      <c r="S229" s="353" t="str">
        <f>IF(ISBLANK(A232),"",A232)</f>
        <v/>
      </c>
      <c r="T229" s="359" t="s">
        <v>192</v>
      </c>
      <c r="U229" s="357"/>
      <c r="V229" s="357"/>
      <c r="W229" s="198"/>
      <c r="X229" s="198"/>
      <c r="Y229" s="198"/>
      <c r="Z229" s="198"/>
      <c r="AA229" s="380"/>
      <c r="AB229" s="380"/>
      <c r="AC229" s="380"/>
      <c r="AD229" s="198"/>
      <c r="AE229" s="122"/>
      <c r="AF229" s="122"/>
      <c r="AG229" s="122"/>
      <c r="AH229" s="122"/>
      <c r="AI229" s="122"/>
      <c r="AJ229" s="122"/>
      <c r="AK229" s="122"/>
      <c r="AL229" s="122"/>
      <c r="AM229" s="122"/>
      <c r="AN229" s="122"/>
      <c r="AO229" s="122"/>
      <c r="AP229" s="122"/>
      <c r="AQ229" s="122"/>
      <c r="AR229" s="122"/>
      <c r="AS229" s="122"/>
      <c r="AT229" s="122"/>
      <c r="AU229" s="122"/>
      <c r="AV229" s="122"/>
      <c r="AW229" s="122"/>
      <c r="AX229" s="122"/>
      <c r="AY229" s="122"/>
    </row>
    <row r="230" spans="1:51" ht="26.25" customHeight="1" x14ac:dyDescent="0.2">
      <c r="A230" s="1279"/>
      <c r="B230" s="1280"/>
      <c r="C230" s="1280"/>
      <c r="D230" s="1280"/>
      <c r="E230" s="1280"/>
      <c r="F230" s="1280"/>
      <c r="G230" s="1280"/>
      <c r="H230" s="1280"/>
      <c r="I230" s="1280"/>
      <c r="J230" s="1306"/>
      <c r="K230" s="1307" t="s">
        <v>615</v>
      </c>
      <c r="L230" s="1308"/>
      <c r="M230" s="1308"/>
      <c r="N230" s="1308"/>
      <c r="O230" s="1309"/>
      <c r="P230" s="365"/>
      <c r="Q230" s="400"/>
      <c r="R230" s="355" t="str">
        <f>IF(COUNTBLANK(P230:Q230)=2,"Please enter response.",IF(COUNTBLANK(P230:Q230)&lt;&gt;1,"Please VERIFY response.",""))</f>
        <v>Please enter response.</v>
      </c>
      <c r="S230" s="366" t="str">
        <f>IF(AND(ISBLANK(P230),ISBLANK(Q230)),"",IF(ISBLANK(P230),0,1))</f>
        <v/>
      </c>
      <c r="T230" s="233" t="s">
        <v>586</v>
      </c>
      <c r="U230" s="200"/>
      <c r="V230" s="200"/>
      <c r="W230" s="198"/>
      <c r="X230" s="349"/>
      <c r="Y230" s="349"/>
      <c r="Z230" s="349"/>
      <c r="AA230" s="380"/>
      <c r="AB230" s="380"/>
      <c r="AC230" s="380"/>
      <c r="AD230" s="198"/>
      <c r="AE230" s="122"/>
      <c r="AF230" s="122"/>
      <c r="AG230" s="122"/>
      <c r="AH230" s="122"/>
      <c r="AI230" s="122"/>
      <c r="AJ230" s="122"/>
      <c r="AK230" s="122"/>
      <c r="AL230" s="122"/>
      <c r="AM230" s="122"/>
      <c r="AN230" s="122"/>
      <c r="AO230" s="122"/>
      <c r="AP230" s="122"/>
      <c r="AQ230" s="122"/>
      <c r="AR230" s="122"/>
      <c r="AS230" s="122"/>
      <c r="AT230" s="122"/>
      <c r="AU230" s="122"/>
      <c r="AV230" s="122"/>
      <c r="AW230" s="122"/>
      <c r="AX230" s="122"/>
      <c r="AY230" s="122"/>
    </row>
    <row r="231" spans="1:51" ht="26.25" customHeight="1" x14ac:dyDescent="0.2">
      <c r="A231" s="1322" t="s">
        <v>616</v>
      </c>
      <c r="B231" s="1323"/>
      <c r="C231" s="1323"/>
      <c r="D231" s="1323"/>
      <c r="E231" s="1323"/>
      <c r="F231" s="1323"/>
      <c r="G231" s="1323"/>
      <c r="H231" s="1323"/>
      <c r="I231" s="1323"/>
      <c r="J231" s="1324"/>
      <c r="K231" s="1307" t="s">
        <v>617</v>
      </c>
      <c r="L231" s="1308"/>
      <c r="M231" s="1308"/>
      <c r="N231" s="1308"/>
      <c r="O231" s="1309"/>
      <c r="P231" s="365"/>
      <c r="Q231" s="400"/>
      <c r="R231" s="355" t="str">
        <f>IF(COUNTBLANK(P231:Q231)=2,"Please enter response.",IF(COUNTBLANK(P231:Q231)&lt;&gt;1,"Please VERIFY response.",""))</f>
        <v>Please enter response.</v>
      </c>
      <c r="S231" s="366" t="str">
        <f>IF(AND(ISBLANK(P231),ISBLANK(Q231)),"",IF(ISBLANK(P231),0,1))</f>
        <v/>
      </c>
      <c r="T231" s="233" t="s">
        <v>587</v>
      </c>
      <c r="U231" s="200"/>
      <c r="V231" s="200"/>
      <c r="W231" s="198"/>
      <c r="X231" s="198"/>
      <c r="Y231" s="198"/>
      <c r="Z231" s="198"/>
      <c r="AA231" s="380"/>
      <c r="AB231" s="380"/>
      <c r="AC231" s="380"/>
      <c r="AD231" s="198"/>
      <c r="AE231" s="122"/>
      <c r="AF231" s="122"/>
      <c r="AG231" s="122"/>
      <c r="AH231" s="122"/>
      <c r="AI231" s="122"/>
      <c r="AJ231" s="122"/>
      <c r="AK231" s="122"/>
      <c r="AL231" s="122"/>
      <c r="AM231" s="122"/>
      <c r="AN231" s="122"/>
      <c r="AO231" s="122"/>
      <c r="AP231" s="122"/>
      <c r="AQ231" s="122"/>
      <c r="AR231" s="122"/>
      <c r="AS231" s="122"/>
      <c r="AT231" s="122"/>
      <c r="AU231" s="122"/>
      <c r="AV231" s="122"/>
      <c r="AW231" s="122"/>
      <c r="AX231" s="122"/>
      <c r="AY231" s="122"/>
    </row>
    <row r="232" spans="1:51" ht="26.25" customHeight="1" x14ac:dyDescent="0.2">
      <c r="A232" s="1263"/>
      <c r="B232" s="1264"/>
      <c r="C232" s="1264"/>
      <c r="D232" s="1264"/>
      <c r="E232" s="1264"/>
      <c r="F232" s="1264"/>
      <c r="G232" s="1264"/>
      <c r="H232" s="1264"/>
      <c r="I232" s="1264"/>
      <c r="J232" s="1305"/>
      <c r="K232" s="1307" t="s">
        <v>618</v>
      </c>
      <c r="L232" s="1308"/>
      <c r="M232" s="1308"/>
      <c r="N232" s="1308"/>
      <c r="O232" s="1309"/>
      <c r="P232" s="365"/>
      <c r="Q232" s="400"/>
      <c r="R232" s="355" t="str">
        <f>IF(COUNTBLANK(P232:Q232)=2,"Please enter response.",IF(COUNTBLANK(P232:Q232)&lt;&gt;1,"Please VERIFY response.",""))</f>
        <v>Please enter response.</v>
      </c>
      <c r="S232" s="366" t="str">
        <f>IF(AND(ISBLANK(P232),ISBLANK(Q232)),"",IF(ISBLANK(P232),0,1))</f>
        <v/>
      </c>
      <c r="T232" s="233" t="s">
        <v>588</v>
      </c>
      <c r="U232" s="200"/>
      <c r="V232" s="200"/>
      <c r="W232" s="198"/>
      <c r="X232" s="198"/>
      <c r="Y232" s="198"/>
      <c r="Z232" s="198"/>
      <c r="AA232" s="380"/>
      <c r="AB232" s="380"/>
      <c r="AC232" s="380"/>
      <c r="AD232" s="198"/>
      <c r="AE232" s="122"/>
      <c r="AF232" s="122"/>
      <c r="AG232" s="122"/>
      <c r="AH232" s="122"/>
      <c r="AI232" s="122"/>
      <c r="AJ232" s="122"/>
      <c r="AK232" s="122"/>
      <c r="AL232" s="122"/>
      <c r="AM232" s="122"/>
      <c r="AN232" s="122"/>
      <c r="AO232" s="122"/>
      <c r="AP232" s="122"/>
      <c r="AQ232" s="122"/>
      <c r="AR232" s="122"/>
      <c r="AS232" s="122"/>
      <c r="AT232" s="122"/>
      <c r="AU232" s="122"/>
      <c r="AV232" s="122"/>
      <c r="AW232" s="122"/>
      <c r="AX232" s="122"/>
      <c r="AY232" s="122"/>
    </row>
    <row r="233" spans="1:51" ht="26.25" customHeight="1" x14ac:dyDescent="0.2">
      <c r="A233" s="1279"/>
      <c r="B233" s="1280"/>
      <c r="C233" s="1280"/>
      <c r="D233" s="1280"/>
      <c r="E233" s="1280"/>
      <c r="F233" s="1280"/>
      <c r="G233" s="1280"/>
      <c r="H233" s="1280"/>
      <c r="I233" s="1280"/>
      <c r="J233" s="1306"/>
      <c r="K233" s="1307" t="s">
        <v>619</v>
      </c>
      <c r="L233" s="1308"/>
      <c r="M233" s="1308"/>
      <c r="N233" s="1308"/>
      <c r="O233" s="1309"/>
      <c r="P233" s="365"/>
      <c r="Q233" s="400"/>
      <c r="R233" s="355" t="str">
        <f>IF(COUNTBLANK(P233:Q233)=2,"Please enter response.",IF(COUNTBLANK(P233:Q233)&lt;&gt;1,"Please VERIFY response.",""))</f>
        <v>Please enter response.</v>
      </c>
      <c r="S233" s="366" t="str">
        <f>IF(AND(ISBLANK(P233),ISBLANK(Q233)),"",IF(ISBLANK(P233),0,1))</f>
        <v/>
      </c>
      <c r="T233" s="233" t="s">
        <v>589</v>
      </c>
      <c r="U233" s="200"/>
      <c r="V233" s="200"/>
      <c r="W233" s="198"/>
      <c r="X233" s="198"/>
      <c r="Y233" s="198"/>
      <c r="Z233" s="198"/>
      <c r="AA233" s="198"/>
      <c r="AB233" s="198"/>
      <c r="AC233" s="198"/>
      <c r="AD233" s="198"/>
      <c r="AE233" s="122"/>
      <c r="AF233" s="122"/>
      <c r="AG233" s="122"/>
      <c r="AH233" s="122"/>
      <c r="AI233" s="122"/>
      <c r="AJ233" s="122"/>
      <c r="AK233" s="122"/>
      <c r="AL233" s="122"/>
      <c r="AM233" s="122"/>
      <c r="AN233" s="122"/>
      <c r="AO233" s="122"/>
      <c r="AP233" s="122"/>
      <c r="AQ233" s="122"/>
      <c r="AR233" s="122"/>
      <c r="AS233" s="122"/>
      <c r="AT233" s="122"/>
      <c r="AU233" s="122"/>
      <c r="AV233" s="122"/>
      <c r="AW233" s="122"/>
      <c r="AX233" s="122"/>
      <c r="AY233" s="122"/>
    </row>
    <row r="234" spans="1:51" ht="26.25" customHeight="1" x14ac:dyDescent="0.2">
      <c r="A234" s="1310" t="s">
        <v>620</v>
      </c>
      <c r="B234" s="1311"/>
      <c r="C234" s="1311"/>
      <c r="D234" s="1311"/>
      <c r="E234" s="1311"/>
      <c r="F234" s="1311"/>
      <c r="G234" s="1311"/>
      <c r="H234" s="1311"/>
      <c r="I234" s="1311"/>
      <c r="J234" s="1311"/>
      <c r="K234" s="1311"/>
      <c r="L234" s="1311"/>
      <c r="M234" s="1311"/>
      <c r="N234" s="1311"/>
      <c r="O234" s="1311"/>
      <c r="P234" s="1311"/>
      <c r="Q234" s="1312"/>
      <c r="R234" s="534" t="s">
        <v>752</v>
      </c>
      <c r="S234" s="377"/>
      <c r="T234" s="368"/>
      <c r="U234" s="368"/>
      <c r="V234" s="368"/>
      <c r="W234" s="349"/>
      <c r="X234" s="349"/>
      <c r="Y234" s="349"/>
      <c r="Z234" s="349"/>
      <c r="AA234" s="378"/>
      <c r="AB234" s="378"/>
      <c r="AC234" s="378"/>
      <c r="AD234" s="198"/>
      <c r="AE234" s="122"/>
      <c r="AF234" s="122"/>
      <c r="AG234" s="122"/>
      <c r="AH234" s="122"/>
      <c r="AI234" s="122"/>
      <c r="AJ234" s="122"/>
      <c r="AK234" s="122"/>
      <c r="AL234" s="122"/>
      <c r="AM234" s="122"/>
      <c r="AN234" s="122"/>
      <c r="AO234" s="122"/>
      <c r="AP234" s="122"/>
      <c r="AQ234" s="122"/>
      <c r="AR234" s="122"/>
      <c r="AS234" s="122"/>
      <c r="AT234" s="122"/>
      <c r="AU234" s="122"/>
      <c r="AV234" s="122"/>
      <c r="AW234" s="122"/>
      <c r="AX234" s="122"/>
      <c r="AY234" s="122"/>
    </row>
    <row r="235" spans="1:51" ht="26.25" customHeight="1" x14ac:dyDescent="0.2">
      <c r="A235" s="1313" t="s">
        <v>621</v>
      </c>
      <c r="B235" s="1314"/>
      <c r="C235" s="1314"/>
      <c r="D235" s="1314"/>
      <c r="E235" s="1314" t="s">
        <v>622</v>
      </c>
      <c r="F235" s="1314"/>
      <c r="G235" s="1314"/>
      <c r="H235" s="1314"/>
      <c r="I235" s="1314" t="s">
        <v>623</v>
      </c>
      <c r="J235" s="1314"/>
      <c r="K235" s="1314"/>
      <c r="L235" s="1314"/>
      <c r="M235" s="1315" t="s">
        <v>624</v>
      </c>
      <c r="N235" s="1314"/>
      <c r="O235" s="1314"/>
      <c r="P235" s="1314"/>
      <c r="Q235" s="1316"/>
      <c r="R235" s="534" t="s">
        <v>752</v>
      </c>
      <c r="S235" s="1298" t="s">
        <v>625</v>
      </c>
      <c r="T235" s="1298"/>
      <c r="U235" s="1298"/>
      <c r="V235" s="1298"/>
      <c r="W235" s="198"/>
      <c r="X235" s="380"/>
      <c r="Y235" s="380"/>
      <c r="Z235" s="380"/>
      <c r="AA235" s="380"/>
      <c r="AB235" s="380"/>
      <c r="AC235" s="380"/>
      <c r="AD235" s="198"/>
      <c r="AE235" s="122"/>
      <c r="AF235" s="122"/>
      <c r="AG235" s="122"/>
      <c r="AH235" s="122"/>
      <c r="AI235" s="122"/>
      <c r="AJ235" s="122"/>
      <c r="AK235" s="122"/>
      <c r="AL235" s="122"/>
      <c r="AM235" s="122"/>
      <c r="AN235" s="122"/>
      <c r="AO235" s="122"/>
      <c r="AP235" s="122"/>
      <c r="AQ235" s="122"/>
      <c r="AR235" s="122"/>
      <c r="AS235" s="122"/>
      <c r="AT235" s="122"/>
      <c r="AU235" s="122"/>
      <c r="AV235" s="122"/>
      <c r="AW235" s="122"/>
      <c r="AX235" s="122"/>
      <c r="AY235" s="122"/>
    </row>
    <row r="236" spans="1:51" ht="26.25" customHeight="1" thickBot="1" x14ac:dyDescent="0.25">
      <c r="A236" s="1299"/>
      <c r="B236" s="848"/>
      <c r="C236" s="848"/>
      <c r="D236" s="848"/>
      <c r="E236" s="848"/>
      <c r="F236" s="848"/>
      <c r="G236" s="848"/>
      <c r="H236" s="848"/>
      <c r="I236" s="848"/>
      <c r="J236" s="848"/>
      <c r="K236" s="848"/>
      <c r="L236" s="848"/>
      <c r="M236" s="1300"/>
      <c r="N236" s="1300"/>
      <c r="O236" s="1300"/>
      <c r="P236" s="1300"/>
      <c r="Q236" s="1301"/>
      <c r="R236" s="531" t="s">
        <v>752</v>
      </c>
      <c r="S236" s="381" t="str">
        <f>IF(ISBLANK(A236),"",VLOOKUP(A236,VProjType,2,FALSE))</f>
        <v/>
      </c>
      <c r="T236" s="381" t="str">
        <f>IF(ISBLANK(E236),"",VLOOKUP(E236,VSubtype1,2,FALSE))</f>
        <v/>
      </c>
      <c r="U236" s="381" t="str">
        <f>IF(ISBLANK(I236),"",VLOOKUP(I236,VSubtype2,2,FALSE))</f>
        <v/>
      </c>
      <c r="V236" s="381" t="str">
        <f>IF(ISBLANK(M236),"",VLOOKUP(M236,VSubtype3,2,FALSE))</f>
        <v/>
      </c>
      <c r="W236" s="198"/>
      <c r="X236" s="380"/>
      <c r="Y236" s="380"/>
      <c r="Z236" s="380"/>
      <c r="AA236" s="380"/>
      <c r="AB236" s="380"/>
      <c r="AC236" s="380"/>
      <c r="AD236" s="198"/>
      <c r="AE236" s="122"/>
      <c r="AF236" s="122"/>
      <c r="AG236" s="122"/>
      <c r="AH236" s="122"/>
      <c r="AI236" s="122"/>
      <c r="AJ236" s="122"/>
      <c r="AK236" s="122"/>
      <c r="AL236" s="122"/>
      <c r="AM236" s="122"/>
      <c r="AN236" s="122"/>
      <c r="AO236" s="122"/>
      <c r="AP236" s="122"/>
      <c r="AQ236" s="122"/>
      <c r="AR236" s="122"/>
      <c r="AS236" s="122"/>
      <c r="AT236" s="122"/>
      <c r="AU236" s="122"/>
      <c r="AV236" s="122"/>
      <c r="AW236" s="122"/>
      <c r="AX236" s="122"/>
      <c r="AY236" s="122"/>
    </row>
    <row r="237" spans="1:51" ht="26.25" customHeight="1" x14ac:dyDescent="0.2">
      <c r="A237" s="1302" t="s">
        <v>627</v>
      </c>
      <c r="B237" s="1303"/>
      <c r="C237" s="1303"/>
      <c r="D237" s="1303"/>
      <c r="E237" s="1303"/>
      <c r="F237" s="1303"/>
      <c r="G237" s="1303"/>
      <c r="H237" s="1303"/>
      <c r="I237" s="1303"/>
      <c r="J237" s="1303"/>
      <c r="K237" s="1303"/>
      <c r="L237" s="1303"/>
      <c r="M237" s="1303"/>
      <c r="N237" s="1303"/>
      <c r="O237" s="1303"/>
      <c r="P237" s="1303"/>
      <c r="Q237" s="1304"/>
      <c r="R237" s="531" t="s">
        <v>752</v>
      </c>
      <c r="S237" s="382" t="s">
        <v>628</v>
      </c>
      <c r="T237" s="378"/>
      <c r="U237" s="378"/>
      <c r="V237" s="378"/>
      <c r="W237" s="198"/>
      <c r="X237" s="380"/>
      <c r="Y237" s="380"/>
      <c r="Z237" s="380"/>
      <c r="AA237" s="380"/>
      <c r="AB237" s="380"/>
      <c r="AC237" s="380"/>
      <c r="AD237" s="198"/>
      <c r="AE237" s="122"/>
      <c r="AF237" s="122"/>
      <c r="AG237" s="122"/>
      <c r="AH237" s="122"/>
      <c r="AI237" s="122"/>
      <c r="AJ237" s="122"/>
      <c r="AK237" s="122"/>
      <c r="AL237" s="122"/>
      <c r="AM237" s="122"/>
      <c r="AN237" s="122"/>
      <c r="AO237" s="122"/>
      <c r="AP237" s="122"/>
      <c r="AQ237" s="122"/>
      <c r="AR237" s="122"/>
      <c r="AS237" s="122"/>
      <c r="AT237" s="122"/>
      <c r="AU237" s="122"/>
      <c r="AV237" s="122"/>
      <c r="AW237" s="122"/>
      <c r="AX237" s="122"/>
      <c r="AY237" s="122"/>
    </row>
    <row r="238" spans="1:51" ht="26.25" customHeight="1" x14ac:dyDescent="0.2">
      <c r="A238" s="1269" t="s">
        <v>629</v>
      </c>
      <c r="B238" s="1270"/>
      <c r="C238" s="1270"/>
      <c r="D238" s="1270"/>
      <c r="E238" s="1270"/>
      <c r="F238" s="1270"/>
      <c r="G238" s="1270"/>
      <c r="H238" s="1270"/>
      <c r="I238" s="1270"/>
      <c r="J238" s="1270"/>
      <c r="K238" s="1270"/>
      <c r="L238" s="1271"/>
      <c r="M238" s="1272"/>
      <c r="N238" s="1273"/>
      <c r="O238" s="1273"/>
      <c r="P238" s="1273"/>
      <c r="Q238" s="1274"/>
      <c r="R238" s="531" t="s">
        <v>752</v>
      </c>
      <c r="S238" s="383" t="str">
        <f>IF(ISBLANK(M238),"",VLOOKUP(M238,VRemote,2,FALSE))</f>
        <v/>
      </c>
      <c r="T238" s="384" t="s">
        <v>630</v>
      </c>
      <c r="U238" s="378"/>
      <c r="V238" s="378"/>
      <c r="W238" s="349"/>
      <c r="X238" s="380"/>
      <c r="Y238" s="380"/>
      <c r="Z238" s="380"/>
      <c r="AA238" s="380"/>
      <c r="AB238" s="380"/>
      <c r="AC238" s="380"/>
      <c r="AD238" s="198"/>
      <c r="AE238" s="122"/>
      <c r="AF238" s="122"/>
      <c r="AG238" s="122"/>
      <c r="AH238" s="122"/>
      <c r="AI238" s="122"/>
      <c r="AJ238" s="122"/>
      <c r="AK238" s="122"/>
      <c r="AL238" s="122"/>
      <c r="AM238" s="122"/>
      <c r="AN238" s="122"/>
      <c r="AO238" s="122"/>
      <c r="AP238" s="122"/>
      <c r="AQ238" s="122"/>
      <c r="AR238" s="122"/>
      <c r="AS238" s="122"/>
      <c r="AT238" s="122"/>
      <c r="AU238" s="122"/>
      <c r="AV238" s="122"/>
      <c r="AW238" s="122"/>
      <c r="AX238" s="122"/>
      <c r="AY238" s="122"/>
    </row>
    <row r="239" spans="1:51" ht="26.25" customHeight="1" x14ac:dyDescent="0.2">
      <c r="A239" s="1269" t="s">
        <v>631</v>
      </c>
      <c r="B239" s="1270"/>
      <c r="C239" s="1270"/>
      <c r="D239" s="1270"/>
      <c r="E239" s="1270"/>
      <c r="F239" s="1270"/>
      <c r="G239" s="1270"/>
      <c r="H239" s="1270"/>
      <c r="I239" s="1270"/>
      <c r="J239" s="1270"/>
      <c r="K239" s="1270"/>
      <c r="L239" s="1270"/>
      <c r="M239" s="1272"/>
      <c r="N239" s="1273"/>
      <c r="O239" s="1273"/>
      <c r="P239" s="1273"/>
      <c r="Q239" s="1274"/>
      <c r="R239" s="531" t="s">
        <v>752</v>
      </c>
      <c r="S239" s="383" t="str">
        <f>IF(ISBLANK(M239),"",VLOOKUP(M239,VCapacity,2,FALSE))</f>
        <v/>
      </c>
      <c r="T239" s="151" t="s">
        <v>632</v>
      </c>
      <c r="U239" s="380"/>
      <c r="V239" s="380"/>
      <c r="W239" s="380"/>
      <c r="X239" s="380"/>
      <c r="Y239" s="380"/>
      <c r="Z239" s="380"/>
      <c r="AA239" s="380"/>
      <c r="AB239" s="380"/>
      <c r="AC239" s="380"/>
      <c r="AD239" s="198"/>
      <c r="AE239" s="122"/>
      <c r="AF239" s="122"/>
      <c r="AG239" s="122"/>
      <c r="AH239" s="122"/>
      <c r="AI239" s="122"/>
      <c r="AJ239" s="122"/>
      <c r="AK239" s="122"/>
      <c r="AL239" s="122"/>
      <c r="AM239" s="122"/>
      <c r="AN239" s="122"/>
      <c r="AO239" s="122"/>
      <c r="AP239" s="122"/>
      <c r="AQ239" s="122"/>
      <c r="AR239" s="122"/>
      <c r="AS239" s="122"/>
      <c r="AT239" s="122"/>
      <c r="AU239" s="122"/>
      <c r="AV239" s="122"/>
      <c r="AW239" s="122"/>
      <c r="AX239" s="122"/>
      <c r="AY239" s="122"/>
    </row>
    <row r="240" spans="1:51" ht="26.25" customHeight="1" x14ac:dyDescent="0.2">
      <c r="A240" s="1269" t="s">
        <v>633</v>
      </c>
      <c r="B240" s="1270"/>
      <c r="C240" s="1270"/>
      <c r="D240" s="1270"/>
      <c r="E240" s="1270"/>
      <c r="F240" s="1270"/>
      <c r="G240" s="1270"/>
      <c r="H240" s="1270"/>
      <c r="I240" s="1270"/>
      <c r="J240" s="1270"/>
      <c r="K240" s="1270"/>
      <c r="L240" s="1270"/>
      <c r="M240" s="1272"/>
      <c r="N240" s="1273"/>
      <c r="O240" s="1273"/>
      <c r="P240" s="1273"/>
      <c r="Q240" s="1274"/>
      <c r="R240" s="531" t="s">
        <v>752</v>
      </c>
      <c r="S240" s="383" t="str">
        <f>IF(ISBLANK(M240),"",VLOOKUP(M240,VPriorCap,2,FALSE))</f>
        <v/>
      </c>
      <c r="T240" s="151" t="s">
        <v>634</v>
      </c>
      <c r="U240" s="380"/>
      <c r="V240" s="380"/>
      <c r="W240" s="380"/>
      <c r="X240" s="380"/>
      <c r="Y240" s="380"/>
      <c r="Z240" s="380"/>
      <c r="AA240" s="380"/>
      <c r="AB240" s="380"/>
      <c r="AC240" s="380"/>
      <c r="AD240" s="198"/>
      <c r="AE240" s="122"/>
      <c r="AF240" s="122"/>
      <c r="AG240" s="122"/>
      <c r="AH240" s="122"/>
      <c r="AI240" s="122"/>
      <c r="AJ240" s="122"/>
      <c r="AK240" s="122"/>
      <c r="AL240" s="122"/>
      <c r="AM240" s="122"/>
      <c r="AN240" s="122"/>
      <c r="AO240" s="122"/>
      <c r="AP240" s="122"/>
      <c r="AQ240" s="122"/>
      <c r="AR240" s="122"/>
      <c r="AS240" s="122"/>
      <c r="AT240" s="122"/>
      <c r="AU240" s="122"/>
      <c r="AV240" s="122"/>
      <c r="AW240" s="122"/>
      <c r="AX240" s="122"/>
      <c r="AY240" s="122"/>
    </row>
    <row r="241" spans="1:51" ht="26.25" customHeight="1" x14ac:dyDescent="0.2">
      <c r="A241" s="1286" t="s">
        <v>636</v>
      </c>
      <c r="B241" s="1287"/>
      <c r="C241" s="1287"/>
      <c r="D241" s="1287"/>
      <c r="E241" s="1287"/>
      <c r="F241" s="1287"/>
      <c r="G241" s="1287"/>
      <c r="H241" s="1287"/>
      <c r="I241" s="1287"/>
      <c r="J241" s="1287"/>
      <c r="K241" s="1287"/>
      <c r="L241" s="1287"/>
      <c r="M241" s="1287"/>
      <c r="N241" s="1287"/>
      <c r="O241" s="1287"/>
      <c r="P241" s="1287"/>
      <c r="Q241" s="1288"/>
      <c r="R241" s="531" t="s">
        <v>752</v>
      </c>
      <c r="S241" s="386" t="str">
        <f>IF(ISBLANK(A242),"",A242)</f>
        <v/>
      </c>
      <c r="T241" s="151" t="s">
        <v>583</v>
      </c>
      <c r="U241" s="380"/>
      <c r="V241" s="380"/>
      <c r="W241" s="380"/>
      <c r="X241" s="380"/>
      <c r="Y241" s="380"/>
      <c r="Z241" s="380"/>
      <c r="AA241" s="380"/>
      <c r="AB241" s="380"/>
      <c r="AC241" s="380"/>
      <c r="AD241" s="198"/>
      <c r="AE241" s="122"/>
      <c r="AF241" s="122"/>
      <c r="AG241" s="122"/>
      <c r="AH241" s="122"/>
      <c r="AI241" s="122"/>
      <c r="AJ241" s="122"/>
      <c r="AK241" s="122"/>
      <c r="AL241" s="122"/>
      <c r="AM241" s="122"/>
      <c r="AN241" s="122"/>
      <c r="AO241" s="122"/>
      <c r="AP241" s="122"/>
      <c r="AQ241" s="122"/>
      <c r="AR241" s="122"/>
      <c r="AS241" s="122"/>
      <c r="AT241" s="122"/>
      <c r="AU241" s="122"/>
      <c r="AV241" s="122"/>
      <c r="AW241" s="122"/>
      <c r="AX241" s="122"/>
      <c r="AY241" s="122"/>
    </row>
    <row r="242" spans="1:51" ht="26.25" customHeight="1" x14ac:dyDescent="0.2">
      <c r="A242" s="1278"/>
      <c r="B242" s="1255"/>
      <c r="C242" s="1255"/>
      <c r="D242" s="1255"/>
      <c r="E242" s="1255"/>
      <c r="F242" s="1255"/>
      <c r="G242" s="1255"/>
      <c r="H242" s="1255"/>
      <c r="I242" s="1255"/>
      <c r="J242" s="1255"/>
      <c r="K242" s="1255"/>
      <c r="L242" s="1255"/>
      <c r="M242" s="1255"/>
      <c r="N242" s="1255"/>
      <c r="O242" s="1255"/>
      <c r="P242" s="1255"/>
      <c r="Q242" s="1285"/>
      <c r="R242" s="531" t="s">
        <v>752</v>
      </c>
      <c r="S242" s="380"/>
      <c r="T242" s="380"/>
      <c r="U242" s="380"/>
      <c r="V242" s="380"/>
      <c r="W242" s="380"/>
      <c r="X242" s="380"/>
      <c r="Y242" s="380"/>
      <c r="Z242" s="380"/>
      <c r="AA242" s="380"/>
      <c r="AB242" s="380"/>
      <c r="AC242" s="380"/>
      <c r="AD242" s="198"/>
      <c r="AE242" s="122"/>
      <c r="AF242" s="122"/>
      <c r="AG242" s="122"/>
      <c r="AH242" s="122"/>
      <c r="AI242" s="122"/>
      <c r="AJ242" s="122"/>
      <c r="AK242" s="122"/>
      <c r="AL242" s="122"/>
      <c r="AM242" s="122"/>
      <c r="AN242" s="122"/>
      <c r="AO242" s="122"/>
      <c r="AP242" s="122"/>
      <c r="AQ242" s="122"/>
      <c r="AR242" s="122"/>
      <c r="AS242" s="122"/>
      <c r="AT242" s="122"/>
      <c r="AU242" s="122"/>
      <c r="AV242" s="122"/>
      <c r="AW242" s="122"/>
      <c r="AX242" s="122"/>
    </row>
    <row r="243" spans="1:51" ht="26.25" customHeight="1" x14ac:dyDescent="0.2">
      <c r="A243" s="1289"/>
      <c r="B243" s="1290"/>
      <c r="C243" s="1290"/>
      <c r="D243" s="1290"/>
      <c r="E243" s="1290"/>
      <c r="F243" s="1290"/>
      <c r="G243" s="1290"/>
      <c r="H243" s="1290"/>
      <c r="I243" s="1290"/>
      <c r="J243" s="1290"/>
      <c r="K243" s="1290"/>
      <c r="L243" s="1290"/>
      <c r="M243" s="1290"/>
      <c r="N243" s="1290"/>
      <c r="O243" s="1290"/>
      <c r="P243" s="1290"/>
      <c r="Q243" s="1291"/>
      <c r="R243" s="531" t="s">
        <v>752</v>
      </c>
      <c r="S243" s="380"/>
      <c r="T243" s="380"/>
      <c r="U243" s="380"/>
      <c r="V243" s="380"/>
      <c r="W243" s="380"/>
      <c r="X243" s="380"/>
      <c r="Y243" s="380"/>
      <c r="Z243" s="380"/>
      <c r="AA243" s="380"/>
      <c r="AB243" s="380"/>
      <c r="AC243" s="380"/>
      <c r="AD243" s="198"/>
      <c r="AE243" s="122"/>
      <c r="AF243" s="122"/>
      <c r="AG243" s="122"/>
      <c r="AH243" s="122"/>
      <c r="AI243" s="122"/>
      <c r="AJ243" s="122"/>
      <c r="AK243" s="122"/>
      <c r="AL243" s="122"/>
      <c r="AM243" s="122"/>
      <c r="AN243" s="122"/>
      <c r="AO243" s="122"/>
      <c r="AP243" s="122"/>
      <c r="AQ243" s="122"/>
      <c r="AR243" s="122"/>
      <c r="AS243" s="122"/>
      <c r="AT243" s="122"/>
      <c r="AU243" s="122"/>
      <c r="AV243" s="122"/>
      <c r="AW243" s="122"/>
      <c r="AX243" s="122"/>
    </row>
    <row r="244" spans="1:51" ht="26.25" customHeight="1" x14ac:dyDescent="0.2">
      <c r="A244" s="1292" t="s">
        <v>638</v>
      </c>
      <c r="B244" s="1293"/>
      <c r="C244" s="1293"/>
      <c r="D244" s="1293"/>
      <c r="E244" s="1293"/>
      <c r="F244" s="1293"/>
      <c r="G244" s="1293"/>
      <c r="H244" s="1293"/>
      <c r="I244" s="1293"/>
      <c r="J244" s="1293"/>
      <c r="K244" s="1293"/>
      <c r="L244" s="1293"/>
      <c r="M244" s="1293"/>
      <c r="N244" s="1293"/>
      <c r="O244" s="1293"/>
      <c r="P244" s="1293"/>
      <c r="Q244" s="1294"/>
      <c r="R244" s="534" t="s">
        <v>752</v>
      </c>
      <c r="S244" s="382"/>
      <c r="T244" s="382"/>
      <c r="U244" s="382"/>
      <c r="V244" s="382"/>
      <c r="W244" s="380"/>
      <c r="X244" s="198"/>
      <c r="Y244" s="198"/>
      <c r="Z244" s="198"/>
      <c r="AA244" s="388"/>
      <c r="AB244" s="388"/>
      <c r="AC244" s="388"/>
      <c r="AD244" s="198"/>
      <c r="AE244" s="122"/>
      <c r="AF244" s="122"/>
      <c r="AG244" s="122"/>
      <c r="AH244" s="122"/>
      <c r="AI244" s="122"/>
      <c r="AJ244" s="122"/>
      <c r="AK244" s="122"/>
      <c r="AL244" s="122"/>
      <c r="AM244" s="122"/>
      <c r="AN244" s="122"/>
      <c r="AO244" s="122"/>
      <c r="AP244" s="122"/>
      <c r="AQ244" s="122"/>
      <c r="AR244" s="122"/>
      <c r="AS244" s="122"/>
      <c r="AT244" s="122"/>
      <c r="AU244" s="122"/>
      <c r="AV244" s="122"/>
      <c r="AW244" s="122"/>
      <c r="AX244" s="122"/>
    </row>
    <row r="245" spans="1:51" ht="26.25" customHeight="1" x14ac:dyDescent="0.2">
      <c r="A245" s="1278"/>
      <c r="B245" s="1255"/>
      <c r="C245" s="1255"/>
      <c r="D245" s="1255"/>
      <c r="E245" s="1255"/>
      <c r="F245" s="1255"/>
      <c r="G245" s="1255"/>
      <c r="H245" s="1255"/>
      <c r="I245" s="1255"/>
      <c r="J245" s="1255"/>
      <c r="K245" s="1255"/>
      <c r="L245" s="1255"/>
      <c r="M245" s="1255"/>
      <c r="N245" s="1255"/>
      <c r="O245" s="1255"/>
      <c r="P245" s="1255"/>
      <c r="Q245" s="1256"/>
      <c r="R245" s="534" t="s">
        <v>752</v>
      </c>
      <c r="S245" s="386" t="str">
        <f>IF(ISBLANK(A245),"",A245)</f>
        <v/>
      </c>
      <c r="T245" s="354" t="s">
        <v>194</v>
      </c>
      <c r="U245" s="380"/>
      <c r="V245" s="380"/>
      <c r="W245" s="380"/>
      <c r="X245" s="378"/>
      <c r="Y245" s="378"/>
      <c r="Z245" s="378"/>
      <c r="AA245" s="394"/>
      <c r="AB245" s="394"/>
      <c r="AC245" s="394"/>
      <c r="AD245" s="352"/>
    </row>
    <row r="246" spans="1:51" ht="26.25" customHeight="1" thickBot="1" x14ac:dyDescent="0.25">
      <c r="A246" s="1266"/>
      <c r="B246" s="1267"/>
      <c r="C246" s="1267"/>
      <c r="D246" s="1267"/>
      <c r="E246" s="1267"/>
      <c r="F246" s="1267"/>
      <c r="G246" s="1267"/>
      <c r="H246" s="1267"/>
      <c r="I246" s="1267"/>
      <c r="J246" s="1267"/>
      <c r="K246" s="1267"/>
      <c r="L246" s="1267"/>
      <c r="M246" s="1267"/>
      <c r="N246" s="1267"/>
      <c r="O246" s="1267"/>
      <c r="P246" s="1267"/>
      <c r="Q246" s="1268"/>
      <c r="R246" s="531" t="s">
        <v>752</v>
      </c>
      <c r="S246" s="380"/>
      <c r="T246" s="354"/>
      <c r="U246" s="380"/>
      <c r="V246" s="380"/>
      <c r="W246" s="380"/>
      <c r="X246" s="380"/>
      <c r="Y246" s="380"/>
      <c r="Z246" s="380"/>
      <c r="AA246" s="198"/>
      <c r="AB246" s="198"/>
      <c r="AC246" s="198"/>
      <c r="AD246" s="352"/>
      <c r="AL246" s="200"/>
    </row>
    <row r="247" spans="1:51" ht="26.25" customHeight="1" x14ac:dyDescent="0.2">
      <c r="A247" s="1260" t="s">
        <v>640</v>
      </c>
      <c r="B247" s="1261"/>
      <c r="C247" s="1261"/>
      <c r="D247" s="1261"/>
      <c r="E247" s="1261"/>
      <c r="F247" s="1261"/>
      <c r="G247" s="1261"/>
      <c r="H247" s="1261"/>
      <c r="I247" s="1261"/>
      <c r="J247" s="1261"/>
      <c r="K247" s="1261"/>
      <c r="L247" s="1261"/>
      <c r="M247" s="1261"/>
      <c r="N247" s="1261"/>
      <c r="O247" s="1261"/>
      <c r="P247" s="1261"/>
      <c r="Q247" s="1262"/>
      <c r="R247" s="531" t="s">
        <v>752</v>
      </c>
      <c r="S247" s="382" t="s">
        <v>641</v>
      </c>
      <c r="T247" s="378"/>
      <c r="U247" s="378"/>
      <c r="V247" s="378"/>
      <c r="W247" s="380"/>
      <c r="X247" s="380"/>
      <c r="Y247" s="380"/>
      <c r="Z247" s="380"/>
      <c r="AA247" s="198"/>
      <c r="AB247" s="198"/>
      <c r="AC247" s="198"/>
      <c r="AD247" s="352"/>
      <c r="AL247" s="200"/>
    </row>
    <row r="248" spans="1:51" ht="26.25" customHeight="1" x14ac:dyDescent="0.2">
      <c r="A248" s="1295" t="s">
        <v>642</v>
      </c>
      <c r="B248" s="1296"/>
      <c r="C248" s="1296"/>
      <c r="D248" s="1296"/>
      <c r="E248" s="1296"/>
      <c r="F248" s="1296"/>
      <c r="G248" s="1296"/>
      <c r="H248" s="1296"/>
      <c r="I248" s="1296"/>
      <c r="J248" s="1296"/>
      <c r="K248" s="1296"/>
      <c r="L248" s="1297"/>
      <c r="M248" s="1272"/>
      <c r="N248" s="1273"/>
      <c r="O248" s="1273"/>
      <c r="P248" s="1273"/>
      <c r="Q248" s="1274"/>
      <c r="R248" s="531" t="s">
        <v>752</v>
      </c>
      <c r="S248" s="387" t="str">
        <f>IF(ISBLANK(M248),"",VLOOKUP(M248,VImpact,2,FALSE))</f>
        <v/>
      </c>
      <c r="T248" s="151" t="s">
        <v>643</v>
      </c>
      <c r="U248" s="380"/>
      <c r="V248" s="380"/>
      <c r="W248" s="198"/>
      <c r="X248" s="380"/>
      <c r="Y248" s="380"/>
      <c r="Z248" s="380"/>
      <c r="AA248" s="198"/>
      <c r="AB248" s="198"/>
      <c r="AC248" s="198"/>
      <c r="AD248" s="198"/>
      <c r="AL248" s="124" t="str">
        <f>IF(AND(ISBLANK(D234),OR(NOT(ISBLANK(D235)),NOT(ISBLANK(D237)),NOT(ISBLANK(D238)),NOT(ISBLANK(F239)),NOT(ISBLANK(A242)))),1,"")</f>
        <v/>
      </c>
    </row>
    <row r="249" spans="1:51" ht="26.25" customHeight="1" x14ac:dyDescent="0.2">
      <c r="A249" s="1269" t="s">
        <v>644</v>
      </c>
      <c r="B249" s="1270"/>
      <c r="C249" s="1270"/>
      <c r="D249" s="1270"/>
      <c r="E249" s="1270"/>
      <c r="F249" s="1270"/>
      <c r="G249" s="1270"/>
      <c r="H249" s="1270"/>
      <c r="I249" s="1270"/>
      <c r="J249" s="1270"/>
      <c r="K249" s="1270"/>
      <c r="L249" s="1271"/>
      <c r="M249" s="1272"/>
      <c r="N249" s="1273"/>
      <c r="O249" s="1273"/>
      <c r="P249" s="1273"/>
      <c r="Q249" s="1274"/>
      <c r="R249" s="531" t="s">
        <v>752</v>
      </c>
      <c r="S249" s="387" t="str">
        <f>IF(ISBLANK(M249),"",VLOOKUP(M249,VEvidence,2,FALSE))</f>
        <v/>
      </c>
      <c r="T249" s="233" t="s">
        <v>645</v>
      </c>
      <c r="U249" s="380"/>
      <c r="V249" s="380"/>
      <c r="W249" s="378"/>
      <c r="X249" s="380"/>
      <c r="Y249" s="380"/>
      <c r="Z249" s="380"/>
      <c r="AA249" s="198"/>
      <c r="AB249" s="198"/>
      <c r="AC249" s="198"/>
      <c r="AD249" s="198"/>
      <c r="AL249" s="124" t="str">
        <f>IF(AND(ISBLANK(D235),OR(NOT(ISBLANK(D234)),NOT(ISBLANK(D237)),NOT(ISBLANK(D238)),NOT(ISBLANK(F239)),NOT(ISBLANK(A242)))),1,"")</f>
        <v/>
      </c>
    </row>
    <row r="250" spans="1:51" ht="26.25" customHeight="1" x14ac:dyDescent="0.2">
      <c r="A250" s="1275" t="s">
        <v>646</v>
      </c>
      <c r="B250" s="1276"/>
      <c r="C250" s="1276"/>
      <c r="D250" s="1276"/>
      <c r="E250" s="1276"/>
      <c r="F250" s="1276"/>
      <c r="G250" s="1276"/>
      <c r="H250" s="1276"/>
      <c r="I250" s="1276"/>
      <c r="J250" s="1276"/>
      <c r="K250" s="1276"/>
      <c r="L250" s="1276"/>
      <c r="M250" s="1276"/>
      <c r="N250" s="1276"/>
      <c r="O250" s="1276"/>
      <c r="P250" s="1276"/>
      <c r="Q250" s="1277"/>
      <c r="R250" s="531" t="s">
        <v>752</v>
      </c>
      <c r="S250" s="386" t="str">
        <f>IF(ISBLANK(A251),"",A251)</f>
        <v/>
      </c>
      <c r="T250" s="354" t="s">
        <v>193</v>
      </c>
      <c r="U250" s="380"/>
      <c r="V250" s="380"/>
      <c r="W250" s="380"/>
      <c r="X250" s="380"/>
      <c r="Y250" s="380"/>
      <c r="Z250" s="380"/>
      <c r="AA250" s="198"/>
      <c r="AB250" s="198"/>
      <c r="AC250" s="198"/>
      <c r="AD250" s="198"/>
      <c r="AL250" s="124"/>
    </row>
    <row r="251" spans="1:51" ht="26.25" customHeight="1" x14ac:dyDescent="0.2">
      <c r="A251" s="1278"/>
      <c r="B251" s="1255"/>
      <c r="C251" s="1255"/>
      <c r="D251" s="1255"/>
      <c r="E251" s="1255"/>
      <c r="F251" s="1255"/>
      <c r="G251" s="1255"/>
      <c r="H251" s="1255"/>
      <c r="I251" s="1255"/>
      <c r="J251" s="1255"/>
      <c r="K251" s="1255"/>
      <c r="L251" s="1255"/>
      <c r="M251" s="1255"/>
      <c r="N251" s="1255"/>
      <c r="O251" s="1255"/>
      <c r="P251" s="1255"/>
      <c r="Q251" s="1256"/>
      <c r="R251" s="531" t="s">
        <v>752</v>
      </c>
      <c r="S251" s="380"/>
      <c r="T251" s="389"/>
      <c r="U251" s="380"/>
      <c r="V251" s="380"/>
      <c r="W251" s="380"/>
      <c r="X251" s="380"/>
      <c r="Y251" s="380"/>
      <c r="Z251" s="380"/>
      <c r="AA251" s="349"/>
      <c r="AB251" s="349"/>
      <c r="AC251" s="349"/>
      <c r="AD251" s="399"/>
      <c r="AL251" s="124" t="str">
        <f>IF(AND(ISBLANK(D237),OR(NOT(ISBLANK(D234)),NOT(ISBLANK(D235)),NOT(ISBLANK(D238)),NOT(ISBLANK(F239)),NOT(ISBLANK(A242)))),1,"")</f>
        <v/>
      </c>
    </row>
    <row r="252" spans="1:51" ht="26.25" customHeight="1" x14ac:dyDescent="0.2">
      <c r="A252" s="1279"/>
      <c r="B252" s="1280"/>
      <c r="C252" s="1280"/>
      <c r="D252" s="1280"/>
      <c r="E252" s="1280"/>
      <c r="F252" s="1280"/>
      <c r="G252" s="1280"/>
      <c r="H252" s="1280"/>
      <c r="I252" s="1280"/>
      <c r="J252" s="1280"/>
      <c r="K252" s="1280"/>
      <c r="L252" s="1280"/>
      <c r="M252" s="1280"/>
      <c r="N252" s="1280"/>
      <c r="O252" s="1280"/>
      <c r="P252" s="1280"/>
      <c r="Q252" s="1281"/>
      <c r="R252" s="531" t="s">
        <v>752</v>
      </c>
      <c r="S252" s="380"/>
      <c r="T252" s="389"/>
      <c r="U252" s="380"/>
      <c r="V252" s="380"/>
      <c r="W252" s="380"/>
      <c r="X252" s="380"/>
      <c r="Y252" s="380"/>
      <c r="Z252" s="380"/>
      <c r="AA252" s="198"/>
      <c r="AB252" s="198"/>
      <c r="AC252" s="198"/>
      <c r="AD252" s="198"/>
      <c r="AL252" s="124" t="str">
        <f>IF(AND(ISBLANK(D238),OR(NOT(ISBLANK(D234)),NOT(ISBLANK(D235)),NOT(ISBLANK(D237)),NOT(ISBLANK(F239)),NOT(ISBLANK(A242)))),1,"")</f>
        <v/>
      </c>
    </row>
    <row r="253" spans="1:51" ht="26.25" customHeight="1" x14ac:dyDescent="0.2">
      <c r="A253" s="1282" t="s">
        <v>647</v>
      </c>
      <c r="B253" s="1283"/>
      <c r="C253" s="1283"/>
      <c r="D253" s="1283"/>
      <c r="E253" s="1283"/>
      <c r="F253" s="1283"/>
      <c r="G253" s="1283"/>
      <c r="H253" s="1283"/>
      <c r="I253" s="1283"/>
      <c r="J253" s="1283"/>
      <c r="K253" s="1283"/>
      <c r="L253" s="1283"/>
      <c r="M253" s="1283"/>
      <c r="N253" s="1283"/>
      <c r="O253" s="1283"/>
      <c r="P253" s="1283"/>
      <c r="Q253" s="1284"/>
      <c r="R253" s="531" t="s">
        <v>752</v>
      </c>
      <c r="S253" s="386" t="str">
        <f>IF(ISBLANK(A254),"",A254)</f>
        <v/>
      </c>
      <c r="T253" s="389" t="s">
        <v>584</v>
      </c>
      <c r="U253" s="380"/>
      <c r="V253" s="380"/>
      <c r="W253" s="380"/>
      <c r="X253" s="380"/>
      <c r="Y253" s="380"/>
      <c r="Z253" s="380"/>
      <c r="AA253" s="198"/>
      <c r="AB253" s="198"/>
      <c r="AC253" s="198"/>
      <c r="AD253" s="198"/>
      <c r="AL253" s="124" t="str">
        <f>IF(AND(ISBLANK(F239),OR(NOT(ISBLANK(D234)),NOT(ISBLANK(D235)),NOT(ISBLANK(D237)),NOT(ISBLANK(D238)),NOT(ISBLANK(A242)))),1,"")</f>
        <v/>
      </c>
    </row>
    <row r="254" spans="1:51" ht="26.25" customHeight="1" x14ac:dyDescent="0.2">
      <c r="A254" s="1278"/>
      <c r="B254" s="1255"/>
      <c r="C254" s="1255"/>
      <c r="D254" s="1255"/>
      <c r="E254" s="1255"/>
      <c r="F254" s="1255"/>
      <c r="G254" s="1255"/>
      <c r="H254" s="1255"/>
      <c r="I254" s="1255"/>
      <c r="J254" s="1255"/>
      <c r="K254" s="1255"/>
      <c r="L254" s="1255"/>
      <c r="M254" s="1255"/>
      <c r="N254" s="1255"/>
      <c r="O254" s="1255"/>
      <c r="P254" s="1255"/>
      <c r="Q254" s="1285"/>
      <c r="R254" s="534" t="s">
        <v>752</v>
      </c>
      <c r="U254" s="380"/>
      <c r="V254" s="380"/>
      <c r="W254" s="380"/>
      <c r="X254" s="380"/>
      <c r="Y254" s="380"/>
      <c r="Z254" s="380"/>
      <c r="AA254" s="198"/>
      <c r="AB254" s="198"/>
      <c r="AC254" s="198"/>
      <c r="AD254" s="352"/>
      <c r="AL254" s="124"/>
    </row>
    <row r="255" spans="1:51" ht="26.25" customHeight="1" thickBot="1" x14ac:dyDescent="0.3">
      <c r="A255" s="1257"/>
      <c r="B255" s="1258"/>
      <c r="C255" s="1258"/>
      <c r="D255" s="1258"/>
      <c r="E255" s="1258"/>
      <c r="F255" s="1258"/>
      <c r="G255" s="1258"/>
      <c r="H255" s="1258"/>
      <c r="I255" s="1258"/>
      <c r="J255" s="1258"/>
      <c r="K255" s="1258"/>
      <c r="L255" s="1258"/>
      <c r="M255" s="1258"/>
      <c r="N255" s="1258"/>
      <c r="O255" s="1258"/>
      <c r="P255" s="1258"/>
      <c r="Q255" s="1259"/>
      <c r="R255" s="534" t="s">
        <v>752</v>
      </c>
      <c r="S255" s="380"/>
      <c r="T255" s="380"/>
      <c r="U255" s="380"/>
      <c r="V255" s="380"/>
      <c r="W255" s="380"/>
      <c r="X255" s="388"/>
      <c r="Y255" s="388"/>
      <c r="Z255" s="388"/>
      <c r="AA255" s="349"/>
      <c r="AB255" s="349"/>
      <c r="AC255" s="349"/>
      <c r="AD255" s="385"/>
      <c r="AL255" s="124"/>
    </row>
    <row r="256" spans="1:51" ht="26.25" customHeight="1" x14ac:dyDescent="0.2">
      <c r="A256" s="1251" t="s">
        <v>649</v>
      </c>
      <c r="B256" s="1252"/>
      <c r="C256" s="1252"/>
      <c r="D256" s="1252"/>
      <c r="E256" s="1252"/>
      <c r="F256" s="1252"/>
      <c r="G256" s="1252"/>
      <c r="H256" s="1252"/>
      <c r="I256" s="1252"/>
      <c r="J256" s="1252"/>
      <c r="K256" s="1252"/>
      <c r="L256" s="1252"/>
      <c r="M256" s="1252"/>
      <c r="N256" s="1252"/>
      <c r="O256" s="1252"/>
      <c r="P256" s="1252"/>
      <c r="Q256" s="1253"/>
      <c r="R256" s="531" t="s">
        <v>752</v>
      </c>
      <c r="S256" s="392" t="str">
        <f>IF(ISBLANK(A257),"",A257)</f>
        <v/>
      </c>
      <c r="T256" s="393" t="s">
        <v>650</v>
      </c>
      <c r="W256" s="380"/>
      <c r="X256" s="378"/>
      <c r="Y256" s="378"/>
      <c r="Z256" s="378"/>
      <c r="AA256" s="380"/>
      <c r="AB256" s="380"/>
      <c r="AC256" s="380"/>
      <c r="AD256" s="198"/>
      <c r="AL256" s="124" t="str">
        <f>IF(AND(ISBLANK(A242),OR(NOT(ISBLANK(D234)),NOT(ISBLANK(D235)),NOT(ISBLANK(D237)),NOT(ISBLANK(D238)),NOT(ISBLANK(F239)))),1,"")</f>
        <v/>
      </c>
    </row>
    <row r="257" spans="1:38" ht="26.25" customHeight="1" x14ac:dyDescent="0.25">
      <c r="A257" s="1278"/>
      <c r="B257" s="1255"/>
      <c r="C257" s="1255"/>
      <c r="D257" s="1255"/>
      <c r="E257" s="1255"/>
      <c r="F257" s="1255"/>
      <c r="G257" s="1255"/>
      <c r="H257" s="1255"/>
      <c r="I257" s="1255"/>
      <c r="J257" s="1255"/>
      <c r="K257" s="1255"/>
      <c r="L257" s="1255"/>
      <c r="M257" s="1255"/>
      <c r="N257" s="1255"/>
      <c r="O257" s="1255"/>
      <c r="P257" s="1255"/>
      <c r="Q257" s="1256"/>
      <c r="R257" s="531" t="s">
        <v>752</v>
      </c>
      <c r="W257" s="380"/>
      <c r="X257" s="380"/>
      <c r="Y257" s="380"/>
      <c r="Z257" s="380"/>
      <c r="AA257" s="380"/>
      <c r="AB257" s="380"/>
      <c r="AC257" s="380"/>
      <c r="AD257" s="385"/>
      <c r="AL257" s="200"/>
    </row>
    <row r="258" spans="1:38" ht="26.25" customHeight="1" thickBot="1" x14ac:dyDescent="0.3">
      <c r="A258" s="1257"/>
      <c r="B258" s="1258"/>
      <c r="C258" s="1258"/>
      <c r="D258" s="1258"/>
      <c r="E258" s="1258"/>
      <c r="F258" s="1258"/>
      <c r="G258" s="1258"/>
      <c r="H258" s="1258"/>
      <c r="I258" s="1258"/>
      <c r="J258" s="1258"/>
      <c r="K258" s="1258"/>
      <c r="L258" s="1258"/>
      <c r="M258" s="1258"/>
      <c r="N258" s="1258"/>
      <c r="O258" s="1258"/>
      <c r="P258" s="1258"/>
      <c r="Q258" s="1259"/>
      <c r="R258" s="531" t="s">
        <v>752</v>
      </c>
      <c r="S258" s="352"/>
      <c r="T258" s="352"/>
      <c r="U258" s="352"/>
      <c r="V258" s="352"/>
      <c r="W258" s="380"/>
      <c r="X258" s="380"/>
      <c r="Y258" s="380"/>
      <c r="Z258" s="380"/>
      <c r="AA258" s="380"/>
      <c r="AB258" s="380"/>
      <c r="AC258" s="380"/>
      <c r="AD258" s="385"/>
      <c r="AL258" s="200"/>
    </row>
    <row r="259" spans="1:38" ht="26.25" customHeight="1" x14ac:dyDescent="0.25">
      <c r="A259" s="1260" t="s">
        <v>651</v>
      </c>
      <c r="B259" s="1261"/>
      <c r="C259" s="1261"/>
      <c r="D259" s="1261"/>
      <c r="E259" s="1261"/>
      <c r="F259" s="1261"/>
      <c r="G259" s="1261"/>
      <c r="H259" s="1261"/>
      <c r="I259" s="1261"/>
      <c r="J259" s="1261"/>
      <c r="K259" s="1261"/>
      <c r="L259" s="1261"/>
      <c r="M259" s="1261"/>
      <c r="N259" s="1261"/>
      <c r="O259" s="1261"/>
      <c r="P259" s="1261"/>
      <c r="Q259" s="1262"/>
      <c r="R259" s="531" t="s">
        <v>752</v>
      </c>
      <c r="S259" s="395"/>
      <c r="T259" s="396"/>
      <c r="U259" s="390"/>
      <c r="V259" s="390"/>
      <c r="W259" s="388"/>
      <c r="X259" s="380"/>
      <c r="Y259" s="380"/>
      <c r="Z259" s="380"/>
      <c r="AA259" s="380"/>
      <c r="AB259" s="380"/>
      <c r="AC259" s="380"/>
      <c r="AD259" s="385"/>
    </row>
    <row r="260" spans="1:38" ht="26.25" customHeight="1" x14ac:dyDescent="0.25">
      <c r="A260" s="1263"/>
      <c r="B260" s="1264"/>
      <c r="C260" s="1264"/>
      <c r="D260" s="1264"/>
      <c r="E260" s="1264"/>
      <c r="F260" s="1264"/>
      <c r="G260" s="1264"/>
      <c r="H260" s="1264"/>
      <c r="I260" s="1264"/>
      <c r="J260" s="1264"/>
      <c r="K260" s="1264"/>
      <c r="L260" s="1264"/>
      <c r="M260" s="1264"/>
      <c r="N260" s="1264"/>
      <c r="O260" s="1264"/>
      <c r="P260" s="1264"/>
      <c r="Q260" s="1265"/>
      <c r="R260" s="531" t="s">
        <v>752</v>
      </c>
      <c r="S260" s="397" t="str">
        <f>IF(ISBLANK(A260),"",CONCATENATE(S259,A260))</f>
        <v/>
      </c>
      <c r="T260" s="354" t="s">
        <v>195</v>
      </c>
      <c r="U260" s="183"/>
      <c r="V260" s="183"/>
      <c r="W260" s="378"/>
      <c r="X260" s="380"/>
      <c r="Y260" s="380"/>
      <c r="Z260" s="380"/>
      <c r="AA260" s="380"/>
      <c r="AB260" s="380"/>
      <c r="AC260" s="380"/>
      <c r="AD260" s="385"/>
    </row>
    <row r="261" spans="1:38" ht="26.25" customHeight="1" thickBot="1" x14ac:dyDescent="0.3">
      <c r="A261" s="1266"/>
      <c r="B261" s="1267"/>
      <c r="C261" s="1267"/>
      <c r="D261" s="1267"/>
      <c r="E261" s="1267"/>
      <c r="F261" s="1267"/>
      <c r="G261" s="1267"/>
      <c r="H261" s="1267"/>
      <c r="I261" s="1267"/>
      <c r="J261" s="1267"/>
      <c r="K261" s="1267"/>
      <c r="L261" s="1267"/>
      <c r="M261" s="1267"/>
      <c r="N261" s="1267"/>
      <c r="O261" s="1267"/>
      <c r="P261" s="1267"/>
      <c r="Q261" s="1268"/>
      <c r="R261" s="531" t="s">
        <v>752</v>
      </c>
      <c r="S261" s="198"/>
      <c r="T261" s="198"/>
      <c r="U261" s="198"/>
      <c r="V261" s="198"/>
      <c r="W261" s="380"/>
      <c r="X261" s="380"/>
      <c r="Y261" s="380"/>
      <c r="Z261" s="380"/>
      <c r="AA261" s="380"/>
      <c r="AB261" s="380"/>
      <c r="AC261" s="380"/>
      <c r="AD261" s="385"/>
    </row>
    <row r="262" spans="1:38" ht="26.25" customHeight="1" thickBot="1" x14ac:dyDescent="0.3">
      <c r="A262" s="1369" t="e">
        <f>$A$1</f>
        <v>#N/A</v>
      </c>
      <c r="B262" s="1369"/>
      <c r="C262" s="1369"/>
      <c r="D262" s="1369"/>
      <c r="E262" s="1369"/>
      <c r="F262" s="1369"/>
      <c r="G262" s="1369"/>
      <c r="H262" s="1369"/>
      <c r="I262" s="1369"/>
      <c r="J262" s="1369"/>
      <c r="K262" s="1369"/>
      <c r="L262" s="1369"/>
      <c r="M262" s="1369"/>
      <c r="N262" s="1369"/>
      <c r="O262" s="1369"/>
      <c r="P262" s="1369"/>
      <c r="Q262" s="1369"/>
      <c r="R262" s="534" t="s">
        <v>752</v>
      </c>
      <c r="S262" s="388"/>
      <c r="T262" s="388"/>
      <c r="U262" s="388"/>
      <c r="V262" s="388"/>
      <c r="W262" s="380"/>
      <c r="X262" s="380"/>
      <c r="Y262" s="380"/>
      <c r="Z262" s="380"/>
      <c r="AA262" s="380"/>
      <c r="AB262" s="380"/>
      <c r="AC262" s="380"/>
      <c r="AD262" s="385"/>
    </row>
    <row r="263" spans="1:38" ht="23.45" customHeight="1" thickBot="1" x14ac:dyDescent="0.3">
      <c r="A263" s="1364" t="s">
        <v>206</v>
      </c>
      <c r="B263" s="1365"/>
      <c r="C263" s="1365"/>
      <c r="D263" s="1365"/>
      <c r="E263" s="1365"/>
      <c r="F263" s="1365"/>
      <c r="G263" s="1365"/>
      <c r="H263" s="1365"/>
      <c r="I263" s="1365"/>
      <c r="J263" s="1365"/>
      <c r="K263" s="1365"/>
      <c r="L263" s="1365"/>
      <c r="M263" s="1365"/>
      <c r="N263" s="1366" t="str">
        <f>$N$5</f>
        <v>2024 Report Year</v>
      </c>
      <c r="O263" s="1367"/>
      <c r="P263" s="1367"/>
      <c r="Q263" s="1368"/>
      <c r="R263" s="534" t="s">
        <v>752</v>
      </c>
      <c r="S263" s="394"/>
      <c r="T263" s="394"/>
      <c r="U263" s="394"/>
      <c r="V263" s="394"/>
      <c r="W263" s="380"/>
      <c r="X263" s="380"/>
      <c r="Y263" s="380"/>
      <c r="Z263" s="380"/>
      <c r="AA263" s="380"/>
      <c r="AB263" s="380"/>
      <c r="AC263" s="380"/>
      <c r="AD263" s="385"/>
    </row>
    <row r="264" spans="1:38" ht="26.25" customHeight="1" x14ac:dyDescent="0.25">
      <c r="A264" s="1351" t="str">
        <f>IF(AND(OR(ISNA(cap_exp_contact),TRIM(cap_exp_contact)=""),NOT(ISBLANK(code_7594))),"The Capital Expenditure Contact information has NOT been provided.  Please complete this information now.","")</f>
        <v/>
      </c>
      <c r="B264" s="1352"/>
      <c r="C264" s="1352"/>
      <c r="D264" s="1352"/>
      <c r="E264" s="1352"/>
      <c r="F264" s="1352"/>
      <c r="G264" s="1352"/>
      <c r="H264" s="1352"/>
      <c r="I264" s="1352"/>
      <c r="J264" s="1352"/>
      <c r="K264" s="1352"/>
      <c r="L264" s="1352"/>
      <c r="M264" s="1352"/>
      <c r="N264" s="343" t="s">
        <v>602</v>
      </c>
      <c r="O264" s="344" t="e">
        <f>$O$6</f>
        <v>#N/A</v>
      </c>
      <c r="P264" s="345" t="s">
        <v>603</v>
      </c>
      <c r="Q264" s="346" t="e">
        <f>IF(ISBLANK(Q221),"",Q221+1)</f>
        <v>#VALUE!</v>
      </c>
      <c r="R264" s="534" t="s">
        <v>752</v>
      </c>
      <c r="S264" s="198"/>
      <c r="T264" s="198"/>
      <c r="U264" s="198"/>
      <c r="V264" s="198"/>
      <c r="W264" s="380"/>
      <c r="X264" s="380"/>
      <c r="Y264" s="380"/>
      <c r="Z264" s="380"/>
      <c r="AA264" s="380"/>
      <c r="AB264" s="380"/>
      <c r="AC264" s="380"/>
      <c r="AD264" s="385"/>
    </row>
    <row r="265" spans="1:38" ht="26.25" customHeight="1" thickBot="1" x14ac:dyDescent="0.3">
      <c r="A265" s="1353" t="s">
        <v>197</v>
      </c>
      <c r="B265" s="1354"/>
      <c r="C265" s="1354"/>
      <c r="D265" s="1354"/>
      <c r="E265" s="1355"/>
      <c r="F265" s="1356"/>
      <c r="G265" s="1356"/>
      <c r="H265" s="1356"/>
      <c r="I265" s="1356"/>
      <c r="J265" s="1356"/>
      <c r="K265" s="1356"/>
      <c r="L265" s="1357"/>
      <c r="M265" s="550" t="s">
        <v>752</v>
      </c>
      <c r="N265" s="1358" t="s">
        <v>604</v>
      </c>
      <c r="O265" s="1359"/>
      <c r="P265" s="1359"/>
      <c r="Q265" s="1360"/>
      <c r="R265" s="531" t="s">
        <v>752</v>
      </c>
      <c r="S265" s="348" t="str">
        <f>IF(ISBLANK(E265),"",E265)</f>
        <v/>
      </c>
      <c r="T265" s="143" t="s">
        <v>495</v>
      </c>
      <c r="U265" s="280"/>
      <c r="V265" s="280"/>
      <c r="W265" s="380"/>
      <c r="X265" s="380"/>
      <c r="Y265" s="380"/>
      <c r="Z265" s="380"/>
      <c r="AA265" s="198"/>
      <c r="AB265" s="198"/>
      <c r="AC265" s="198"/>
      <c r="AD265" s="385"/>
    </row>
    <row r="266" spans="1:38" ht="26.25" customHeight="1" x14ac:dyDescent="0.25">
      <c r="A266" s="1361" t="s">
        <v>605</v>
      </c>
      <c r="B266" s="1362"/>
      <c r="C266" s="1362"/>
      <c r="D266" s="1363"/>
      <c r="E266" s="1339"/>
      <c r="F266" s="1340"/>
      <c r="G266" s="1340"/>
      <c r="H266" s="1340"/>
      <c r="I266" s="1340"/>
      <c r="J266" s="1340"/>
      <c r="K266" s="1340"/>
      <c r="L266" s="1341"/>
      <c r="M266" s="1342" t="str">
        <f>IF(AND(ISBLANK(E266),OR(NOT(ISBLANK(E267)),NOT(ISBLANK(E268)),NOT(ISBLANK(E269)),NOT(ISBLANK(I270)),NOT(ISBLANK(A272)))),"This information is required.","")</f>
        <v/>
      </c>
      <c r="N266" s="1343"/>
      <c r="O266" s="1343"/>
      <c r="P266" s="1343"/>
      <c r="Q266" s="551" t="s">
        <v>752</v>
      </c>
      <c r="R266" s="531" t="s">
        <v>752</v>
      </c>
      <c r="S266" s="348" t="str">
        <f>IF(ISBLANK(E266),"",E266)</f>
        <v/>
      </c>
      <c r="T266" s="143" t="s">
        <v>185</v>
      </c>
      <c r="U266" s="280"/>
      <c r="V266" s="280"/>
      <c r="W266" s="380"/>
      <c r="X266" s="198"/>
      <c r="Y266" s="198"/>
      <c r="Z266" s="198"/>
      <c r="AA266" s="378"/>
      <c r="AB266" s="378"/>
      <c r="AC266" s="378"/>
      <c r="AD266" s="385"/>
    </row>
    <row r="267" spans="1:38" ht="26.25" customHeight="1" x14ac:dyDescent="0.2">
      <c r="A267" s="1325" t="s">
        <v>606</v>
      </c>
      <c r="B267" s="1326"/>
      <c r="C267" s="1326"/>
      <c r="D267" s="1327"/>
      <c r="E267" s="1339"/>
      <c r="F267" s="1340"/>
      <c r="G267" s="1340"/>
      <c r="H267" s="1340"/>
      <c r="I267" s="1340"/>
      <c r="J267" s="1340"/>
      <c r="K267" s="1340"/>
      <c r="L267" s="1341"/>
      <c r="M267" s="1342" t="str">
        <f>IF(AND(ISBLANK(E267),OR(NOT(ISBLANK(E266)),NOT(ISBLANK(E268)),NOT(ISBLANK(E269)),NOT(ISBLANK(I270)),NOT(ISBLANK(A272)))),"This information is required.","")</f>
        <v/>
      </c>
      <c r="N267" s="1343"/>
      <c r="O267" s="1343"/>
      <c r="P267" s="1343"/>
      <c r="Q267" s="551" t="s">
        <v>752</v>
      </c>
      <c r="R267" s="531" t="s">
        <v>752</v>
      </c>
      <c r="S267" s="348" t="str">
        <f>IF(ISBLANK(E267),"",E267)</f>
        <v/>
      </c>
      <c r="T267" s="143" t="s">
        <v>186</v>
      </c>
      <c r="U267" s="280"/>
      <c r="V267" s="280"/>
      <c r="W267" s="380"/>
      <c r="X267" s="382"/>
      <c r="Y267" s="382"/>
      <c r="Z267" s="382"/>
      <c r="AA267" s="380"/>
      <c r="AB267" s="380"/>
      <c r="AC267" s="380"/>
      <c r="AD267" s="198"/>
    </row>
    <row r="268" spans="1:38" ht="26.25" customHeight="1" x14ac:dyDescent="0.25">
      <c r="A268" s="1344" t="s">
        <v>607</v>
      </c>
      <c r="B268" s="1345"/>
      <c r="C268" s="1345"/>
      <c r="D268" s="1346"/>
      <c r="E268" s="1347"/>
      <c r="F268" s="1348"/>
      <c r="G268" s="1349" t="s">
        <v>608</v>
      </c>
      <c r="H268" s="1349"/>
      <c r="I268" s="1349"/>
      <c r="J268" s="1349"/>
      <c r="K268" s="1349"/>
      <c r="L268" s="1349"/>
      <c r="M268" s="1350" t="str">
        <f>IF(AND(ISBLANK(E268),OR(NOT(ISBLANK(E266)),NOT(ISBLANK(E267)),NOT(ISBLANK(E269)),NOT(ISBLANK(I270)),NOT(ISBLANK(A272)))),"This information is required.","")</f>
        <v/>
      </c>
      <c r="N268" s="1202"/>
      <c r="O268" s="1202"/>
      <c r="P268" s="1202"/>
      <c r="Q268" s="532" t="s">
        <v>752</v>
      </c>
      <c r="R268" s="531" t="s">
        <v>752</v>
      </c>
      <c r="S268" s="350" t="str">
        <f>IF(ISBLANK(E268),"",E268)</f>
        <v/>
      </c>
      <c r="T268" s="351" t="s">
        <v>188</v>
      </c>
      <c r="U268" s="349"/>
      <c r="V268" s="349"/>
      <c r="W268" s="380"/>
      <c r="X268" s="380"/>
      <c r="Y268" s="380"/>
      <c r="Z268" s="380"/>
      <c r="AA268" s="380"/>
      <c r="AB268" s="380"/>
      <c r="AC268" s="380"/>
      <c r="AD268" s="385"/>
    </row>
    <row r="269" spans="1:38" ht="26.25" customHeight="1" x14ac:dyDescent="0.25">
      <c r="A269" s="1325" t="s">
        <v>609</v>
      </c>
      <c r="B269" s="1326"/>
      <c r="C269" s="1326"/>
      <c r="D269" s="1327"/>
      <c r="E269" s="1328"/>
      <c r="F269" s="1329"/>
      <c r="G269" s="1337" t="s">
        <v>752</v>
      </c>
      <c r="H269" s="1338"/>
      <c r="I269" s="1338"/>
      <c r="J269" s="1338"/>
      <c r="K269" s="1338"/>
      <c r="L269" s="1338"/>
      <c r="M269" s="1202" t="str">
        <f>IF(AND(ISBLANK(E269),OR(NOT(ISBLANK(E266)),NOT(ISBLANK(E267)),NOT(ISBLANK(E268)),NOT(ISBLANK(I270)),NOT(ISBLANK(A272)))),"This information is required.","")</f>
        <v/>
      </c>
      <c r="N269" s="1202"/>
      <c r="O269" s="1202"/>
      <c r="P269" s="1202"/>
      <c r="Q269" s="532" t="s">
        <v>752</v>
      </c>
      <c r="R269" s="531" t="s">
        <v>752</v>
      </c>
      <c r="S269" s="353" t="str">
        <f>IF(ISBLANK(E269),"",E269)</f>
        <v/>
      </c>
      <c r="T269" s="354" t="s">
        <v>189</v>
      </c>
      <c r="U269" s="318"/>
      <c r="V269" s="318"/>
      <c r="W269" s="380"/>
      <c r="X269" s="380"/>
      <c r="Y269" s="380"/>
      <c r="Z269" s="380"/>
      <c r="AA269" s="380"/>
      <c r="AB269" s="380"/>
      <c r="AC269" s="380"/>
      <c r="AD269" s="385"/>
    </row>
    <row r="270" spans="1:38" ht="26.25" customHeight="1" thickBot="1" x14ac:dyDescent="0.3">
      <c r="A270" s="1330" t="s">
        <v>610</v>
      </c>
      <c r="B270" s="1331"/>
      <c r="C270" s="1331"/>
      <c r="D270" s="1331"/>
      <c r="E270" s="1332"/>
      <c r="F270" s="1332"/>
      <c r="G270" s="1332"/>
      <c r="H270" s="1332"/>
      <c r="I270" s="1333"/>
      <c r="J270" s="1333"/>
      <c r="K270" s="1334" t="s">
        <v>611</v>
      </c>
      <c r="L270" s="1335"/>
      <c r="M270" s="1336" t="str">
        <f>IF(AND(ISBLANK(I270),OR(NOT(ISBLANK(E266)),NOT(ISBLANK(E267)),NOT(ISBLANK(E268)),NOT(ISBLANK(E269)),NOT(ISBLANK(A272)))),"This information is required!","")</f>
        <v/>
      </c>
      <c r="N270" s="1336"/>
      <c r="O270" s="1336"/>
      <c r="P270" s="1336"/>
      <c r="Q270" s="553" t="s">
        <v>752</v>
      </c>
      <c r="R270" s="531" t="s">
        <v>752</v>
      </c>
      <c r="S270" s="353" t="str">
        <f>IF(ISBLANK(I270),"",I270)</f>
        <v/>
      </c>
      <c r="T270" s="354" t="s">
        <v>190</v>
      </c>
      <c r="U270" s="355"/>
      <c r="V270" s="355"/>
      <c r="W270" s="198"/>
      <c r="X270" s="380"/>
      <c r="Y270" s="380"/>
      <c r="Z270" s="380"/>
      <c r="AA270" s="380"/>
      <c r="AB270" s="380"/>
      <c r="AC270" s="380"/>
      <c r="AD270" s="385"/>
    </row>
    <row r="271" spans="1:38" ht="26.25" customHeight="1" x14ac:dyDescent="0.25">
      <c r="A271" s="1251" t="s">
        <v>613</v>
      </c>
      <c r="B271" s="1252"/>
      <c r="C271" s="1252"/>
      <c r="D271" s="1252"/>
      <c r="E271" s="1252"/>
      <c r="F271" s="1252"/>
      <c r="G271" s="1252"/>
      <c r="H271" s="1252"/>
      <c r="I271" s="1252"/>
      <c r="J271" s="1317"/>
      <c r="K271" s="1318" t="s">
        <v>679</v>
      </c>
      <c r="L271" s="1318"/>
      <c r="M271" s="1318"/>
      <c r="N271" s="1318"/>
      <c r="O271" s="1320" t="s">
        <v>614</v>
      </c>
      <c r="P271" s="1320"/>
      <c r="Q271" s="1321"/>
      <c r="R271" s="531" t="s">
        <v>752</v>
      </c>
      <c r="S271" s="353" t="str">
        <f>IF(ISBLANK(A272),"",A272)</f>
        <v/>
      </c>
      <c r="T271" s="354" t="s">
        <v>191</v>
      </c>
      <c r="U271" s="357"/>
      <c r="V271" s="357"/>
      <c r="W271" s="382"/>
      <c r="X271" s="380"/>
      <c r="Y271" s="380"/>
      <c r="Z271" s="380"/>
      <c r="AA271" s="380"/>
      <c r="AB271" s="380"/>
      <c r="AC271" s="380"/>
      <c r="AD271" s="385"/>
    </row>
    <row r="272" spans="1:38" ht="26.25" customHeight="1" x14ac:dyDescent="0.25">
      <c r="A272" s="1263"/>
      <c r="B272" s="1264"/>
      <c r="C272" s="1264"/>
      <c r="D272" s="1264"/>
      <c r="E272" s="1264"/>
      <c r="F272" s="1264"/>
      <c r="G272" s="1264"/>
      <c r="H272" s="1264"/>
      <c r="I272" s="1264"/>
      <c r="J272" s="1305"/>
      <c r="K272" s="1319"/>
      <c r="L272" s="1319"/>
      <c r="M272" s="1319"/>
      <c r="N272" s="1319"/>
      <c r="O272" s="555" t="s">
        <v>752</v>
      </c>
      <c r="P272" s="214" t="s">
        <v>265</v>
      </c>
      <c r="Q272" s="358" t="s">
        <v>266</v>
      </c>
      <c r="R272" s="531" t="s">
        <v>752</v>
      </c>
      <c r="S272" s="353" t="str">
        <f>IF(ISBLANK(A275),"",A275)</f>
        <v/>
      </c>
      <c r="T272" s="359" t="s">
        <v>192</v>
      </c>
      <c r="U272" s="357"/>
      <c r="V272" s="357"/>
      <c r="W272" s="380"/>
      <c r="X272" s="380"/>
      <c r="Y272" s="380"/>
      <c r="Z272" s="380"/>
      <c r="AA272" s="380"/>
      <c r="AB272" s="380"/>
      <c r="AC272" s="380"/>
      <c r="AD272" s="385"/>
    </row>
    <row r="273" spans="1:30" ht="26.25" customHeight="1" x14ac:dyDescent="0.25">
      <c r="A273" s="1279"/>
      <c r="B273" s="1280"/>
      <c r="C273" s="1280"/>
      <c r="D273" s="1280"/>
      <c r="E273" s="1280"/>
      <c r="F273" s="1280"/>
      <c r="G273" s="1280"/>
      <c r="H273" s="1280"/>
      <c r="I273" s="1280"/>
      <c r="J273" s="1306"/>
      <c r="K273" s="1307" t="s">
        <v>615</v>
      </c>
      <c r="L273" s="1308"/>
      <c r="M273" s="1308"/>
      <c r="N273" s="1308"/>
      <c r="O273" s="1309"/>
      <c r="P273" s="365"/>
      <c r="Q273" s="400"/>
      <c r="R273" s="355" t="str">
        <f>IF(COUNTBLANK(P273:Q273)=2,"Please enter response.",IF(COUNTBLANK(P273:Q273)&lt;&gt;1,"Please VERIFY response.",""))</f>
        <v>Please enter response.</v>
      </c>
      <c r="S273" s="366" t="str">
        <f>IF(AND(ISBLANK(P273),ISBLANK(Q273)),"",IF(ISBLANK(P273),0,1))</f>
        <v/>
      </c>
      <c r="T273" s="233" t="s">
        <v>586</v>
      </c>
      <c r="U273" s="200"/>
      <c r="V273" s="200"/>
      <c r="W273" s="380"/>
      <c r="X273" s="380"/>
      <c r="Y273" s="380"/>
      <c r="Z273" s="380"/>
      <c r="AA273" s="380"/>
      <c r="AB273" s="380"/>
      <c r="AC273" s="380"/>
      <c r="AD273" s="385"/>
    </row>
    <row r="274" spans="1:30" ht="26.25" customHeight="1" x14ac:dyDescent="0.25">
      <c r="A274" s="1322" t="s">
        <v>616</v>
      </c>
      <c r="B274" s="1323"/>
      <c r="C274" s="1323"/>
      <c r="D274" s="1323"/>
      <c r="E274" s="1323"/>
      <c r="F274" s="1323"/>
      <c r="G274" s="1323"/>
      <c r="H274" s="1323"/>
      <c r="I274" s="1323"/>
      <c r="J274" s="1324"/>
      <c r="K274" s="1307" t="s">
        <v>617</v>
      </c>
      <c r="L274" s="1308"/>
      <c r="M274" s="1308"/>
      <c r="N274" s="1308"/>
      <c r="O274" s="1309"/>
      <c r="P274" s="365"/>
      <c r="Q274" s="400"/>
      <c r="R274" s="355" t="str">
        <f>IF(COUNTBLANK(P274:Q274)=2,"Please enter response.",IF(COUNTBLANK(P274:Q274)&lt;&gt;1,"Please VERIFY response.",""))</f>
        <v>Please enter response.</v>
      </c>
      <c r="S274" s="366" t="str">
        <f>IF(AND(ISBLANK(P274),ISBLANK(Q274)),"",IF(ISBLANK(P274),0,1))</f>
        <v/>
      </c>
      <c r="T274" s="233" t="s">
        <v>587</v>
      </c>
      <c r="U274" s="200"/>
      <c r="V274" s="200"/>
      <c r="W274" s="380"/>
      <c r="X274" s="380"/>
      <c r="Y274" s="380"/>
      <c r="Z274" s="380"/>
      <c r="AA274" s="380"/>
      <c r="AB274" s="380"/>
      <c r="AC274" s="380"/>
      <c r="AD274" s="385"/>
    </row>
    <row r="275" spans="1:30" ht="26.25" customHeight="1" x14ac:dyDescent="0.25">
      <c r="A275" s="1263"/>
      <c r="B275" s="1264"/>
      <c r="C275" s="1264"/>
      <c r="D275" s="1264"/>
      <c r="E275" s="1264"/>
      <c r="F275" s="1264"/>
      <c r="G275" s="1264"/>
      <c r="H275" s="1264"/>
      <c r="I275" s="1264"/>
      <c r="J275" s="1305"/>
      <c r="K275" s="1307" t="s">
        <v>618</v>
      </c>
      <c r="L275" s="1308"/>
      <c r="M275" s="1308"/>
      <c r="N275" s="1308"/>
      <c r="O275" s="1309"/>
      <c r="P275" s="365"/>
      <c r="Q275" s="400"/>
      <c r="R275" s="355" t="str">
        <f>IF(COUNTBLANK(P275:Q275)=2,"Please enter response.",IF(COUNTBLANK(P275:Q275)&lt;&gt;1,"Please VERIFY response.",""))</f>
        <v>Please enter response.</v>
      </c>
      <c r="S275" s="366" t="str">
        <f>IF(AND(ISBLANK(P275),ISBLANK(Q275)),"",IF(ISBLANK(P275),0,1))</f>
        <v/>
      </c>
      <c r="T275" s="233" t="s">
        <v>588</v>
      </c>
      <c r="U275" s="200"/>
      <c r="V275" s="200"/>
      <c r="W275" s="380"/>
      <c r="X275" s="380"/>
      <c r="Y275" s="380"/>
      <c r="Z275" s="380"/>
      <c r="AA275" s="380"/>
      <c r="AB275" s="380"/>
      <c r="AC275" s="380"/>
      <c r="AD275" s="385"/>
    </row>
    <row r="276" spans="1:30" ht="26.25" customHeight="1" x14ac:dyDescent="0.25">
      <c r="A276" s="1279"/>
      <c r="B276" s="1280"/>
      <c r="C276" s="1280"/>
      <c r="D276" s="1280"/>
      <c r="E276" s="1280"/>
      <c r="F276" s="1280"/>
      <c r="G276" s="1280"/>
      <c r="H276" s="1280"/>
      <c r="I276" s="1280"/>
      <c r="J276" s="1306"/>
      <c r="K276" s="1307" t="s">
        <v>619</v>
      </c>
      <c r="L276" s="1308"/>
      <c r="M276" s="1308"/>
      <c r="N276" s="1308"/>
      <c r="O276" s="1309"/>
      <c r="P276" s="365"/>
      <c r="Q276" s="400"/>
      <c r="R276" s="355" t="str">
        <f>IF(COUNTBLANK(P276:Q276)=2,"Please enter response.",IF(COUNTBLANK(P276:Q276)&lt;&gt;1,"Please VERIFY response.",""))</f>
        <v>Please enter response.</v>
      </c>
      <c r="S276" s="366" t="str">
        <f>IF(AND(ISBLANK(P276),ISBLANK(Q276)),"",IF(ISBLANK(P276),0,1))</f>
        <v/>
      </c>
      <c r="T276" s="233" t="s">
        <v>589</v>
      </c>
      <c r="U276" s="200"/>
      <c r="V276" s="200"/>
      <c r="W276" s="380"/>
      <c r="X276" s="380"/>
      <c r="Y276" s="380"/>
      <c r="Z276" s="380"/>
      <c r="AA276" s="388"/>
      <c r="AB276" s="388"/>
      <c r="AC276" s="388"/>
      <c r="AD276" s="385"/>
    </row>
    <row r="277" spans="1:30" ht="26.25" customHeight="1" x14ac:dyDescent="0.25">
      <c r="A277" s="1310" t="s">
        <v>620</v>
      </c>
      <c r="B277" s="1311"/>
      <c r="C277" s="1311"/>
      <c r="D277" s="1311"/>
      <c r="E277" s="1311"/>
      <c r="F277" s="1311"/>
      <c r="G277" s="1311"/>
      <c r="H277" s="1311"/>
      <c r="I277" s="1311"/>
      <c r="J277" s="1311"/>
      <c r="K277" s="1311"/>
      <c r="L277" s="1311"/>
      <c r="M277" s="1311"/>
      <c r="N277" s="1311"/>
      <c r="O277" s="1311"/>
      <c r="P277" s="1311"/>
      <c r="Q277" s="1312"/>
      <c r="R277" s="534" t="s">
        <v>752</v>
      </c>
      <c r="S277" s="377"/>
      <c r="T277" s="368"/>
      <c r="U277" s="368"/>
      <c r="V277" s="368"/>
      <c r="W277" s="380"/>
      <c r="X277" s="198"/>
      <c r="Y277" s="198"/>
      <c r="Z277" s="198"/>
      <c r="AA277" s="378"/>
      <c r="AB277" s="378"/>
      <c r="AC277" s="378"/>
      <c r="AD277" s="385"/>
    </row>
    <row r="278" spans="1:30" ht="26.25" customHeight="1" x14ac:dyDescent="0.2">
      <c r="A278" s="1313" t="s">
        <v>621</v>
      </c>
      <c r="B278" s="1314"/>
      <c r="C278" s="1314"/>
      <c r="D278" s="1314"/>
      <c r="E278" s="1314" t="s">
        <v>622</v>
      </c>
      <c r="F278" s="1314"/>
      <c r="G278" s="1314"/>
      <c r="H278" s="1314"/>
      <c r="I278" s="1314" t="s">
        <v>623</v>
      </c>
      <c r="J278" s="1314"/>
      <c r="K278" s="1314"/>
      <c r="L278" s="1314"/>
      <c r="M278" s="1315" t="s">
        <v>624</v>
      </c>
      <c r="N278" s="1314"/>
      <c r="O278" s="1314"/>
      <c r="P278" s="1314"/>
      <c r="Q278" s="1316"/>
      <c r="R278" s="534" t="s">
        <v>752</v>
      </c>
      <c r="S278" s="1298" t="s">
        <v>625</v>
      </c>
      <c r="T278" s="1298"/>
      <c r="U278" s="1298"/>
      <c r="V278" s="1298"/>
      <c r="W278" s="380"/>
      <c r="X278" s="378"/>
      <c r="Y278" s="378"/>
      <c r="Z278" s="378"/>
      <c r="AA278" s="380"/>
      <c r="AB278" s="380"/>
      <c r="AC278" s="380"/>
      <c r="AD278" s="198"/>
    </row>
    <row r="279" spans="1:30" ht="26.25" customHeight="1" thickBot="1" x14ac:dyDescent="0.3">
      <c r="A279" s="1299"/>
      <c r="B279" s="848"/>
      <c r="C279" s="848"/>
      <c r="D279" s="848"/>
      <c r="E279" s="848"/>
      <c r="F279" s="848"/>
      <c r="G279" s="848"/>
      <c r="H279" s="848"/>
      <c r="I279" s="848"/>
      <c r="J279" s="848"/>
      <c r="K279" s="848"/>
      <c r="L279" s="848"/>
      <c r="M279" s="1300"/>
      <c r="N279" s="1300"/>
      <c r="O279" s="1300"/>
      <c r="P279" s="1300"/>
      <c r="Q279" s="1301"/>
      <c r="R279" s="531" t="s">
        <v>752</v>
      </c>
      <c r="S279" s="381" t="str">
        <f>IF(ISBLANK(A279),"",VLOOKUP(A279,VProjType,2,FALSE))</f>
        <v/>
      </c>
      <c r="T279" s="381" t="str">
        <f>IF(ISBLANK(E279),"",VLOOKUP(E279,VSubtype1,2,FALSE))</f>
        <v/>
      </c>
      <c r="U279" s="381" t="str">
        <f>IF(ISBLANK(I279),"",VLOOKUP(I279,VSubtype2,2,FALSE))</f>
        <v/>
      </c>
      <c r="V279" s="381" t="str">
        <f>IF(ISBLANK(M279),"",VLOOKUP(M279,VSubtype3,2,FALSE))</f>
        <v/>
      </c>
      <c r="W279" s="380"/>
      <c r="X279" s="380"/>
      <c r="Y279" s="380"/>
      <c r="Z279" s="380"/>
      <c r="AA279" s="380"/>
      <c r="AB279" s="380"/>
      <c r="AC279" s="380"/>
      <c r="AD279" s="385"/>
    </row>
    <row r="280" spans="1:30" ht="26.25" customHeight="1" x14ac:dyDescent="0.25">
      <c r="A280" s="1302" t="s">
        <v>627</v>
      </c>
      <c r="B280" s="1303"/>
      <c r="C280" s="1303"/>
      <c r="D280" s="1303"/>
      <c r="E280" s="1303"/>
      <c r="F280" s="1303"/>
      <c r="G280" s="1303"/>
      <c r="H280" s="1303"/>
      <c r="I280" s="1303"/>
      <c r="J280" s="1303"/>
      <c r="K280" s="1303"/>
      <c r="L280" s="1303"/>
      <c r="M280" s="1303"/>
      <c r="N280" s="1303"/>
      <c r="O280" s="1303"/>
      <c r="P280" s="1303"/>
      <c r="Q280" s="1304"/>
      <c r="R280" s="531" t="s">
        <v>752</v>
      </c>
      <c r="S280" s="382" t="s">
        <v>628</v>
      </c>
      <c r="T280" s="378"/>
      <c r="U280" s="378"/>
      <c r="V280" s="378"/>
      <c r="W280" s="380"/>
      <c r="X280" s="380"/>
      <c r="Y280" s="380"/>
      <c r="Z280" s="380"/>
      <c r="AA280" s="380"/>
      <c r="AB280" s="380"/>
      <c r="AC280" s="380"/>
      <c r="AD280" s="385"/>
    </row>
    <row r="281" spans="1:30" ht="26.25" customHeight="1" x14ac:dyDescent="0.2">
      <c r="A281" s="1269" t="s">
        <v>629</v>
      </c>
      <c r="B281" s="1270"/>
      <c r="C281" s="1270"/>
      <c r="D281" s="1270"/>
      <c r="E281" s="1270"/>
      <c r="F281" s="1270"/>
      <c r="G281" s="1270"/>
      <c r="H281" s="1270"/>
      <c r="I281" s="1270"/>
      <c r="J281" s="1270"/>
      <c r="K281" s="1270"/>
      <c r="L281" s="1271"/>
      <c r="M281" s="1272"/>
      <c r="N281" s="1273"/>
      <c r="O281" s="1273"/>
      <c r="P281" s="1273"/>
      <c r="Q281" s="1274"/>
      <c r="R281" s="531" t="s">
        <v>752</v>
      </c>
      <c r="S281" s="383" t="str">
        <f>IF(ISBLANK(M281),"",VLOOKUP(M281,VRemote,2,FALSE))</f>
        <v/>
      </c>
      <c r="T281" s="384" t="s">
        <v>630</v>
      </c>
      <c r="U281" s="378"/>
      <c r="V281" s="378"/>
      <c r="W281" s="198"/>
      <c r="X281" s="380"/>
      <c r="Y281" s="380"/>
      <c r="Z281" s="380"/>
      <c r="AA281" s="380"/>
      <c r="AB281" s="380"/>
      <c r="AC281" s="380"/>
      <c r="AD281" s="198"/>
    </row>
    <row r="282" spans="1:30" ht="26.25" customHeight="1" x14ac:dyDescent="0.2">
      <c r="A282" s="1269" t="s">
        <v>631</v>
      </c>
      <c r="B282" s="1270"/>
      <c r="C282" s="1270"/>
      <c r="D282" s="1270"/>
      <c r="E282" s="1270"/>
      <c r="F282" s="1270"/>
      <c r="G282" s="1270"/>
      <c r="H282" s="1270"/>
      <c r="I282" s="1270"/>
      <c r="J282" s="1270"/>
      <c r="K282" s="1270"/>
      <c r="L282" s="1270"/>
      <c r="M282" s="1272"/>
      <c r="N282" s="1273"/>
      <c r="O282" s="1273"/>
      <c r="P282" s="1273"/>
      <c r="Q282" s="1274"/>
      <c r="R282" s="531" t="s">
        <v>752</v>
      </c>
      <c r="S282" s="383" t="str">
        <f>IF(ISBLANK(M282),"",VLOOKUP(M282,VCapacity,2,FALSE))</f>
        <v/>
      </c>
      <c r="T282" s="151" t="s">
        <v>632</v>
      </c>
      <c r="U282" s="380"/>
      <c r="V282" s="380"/>
      <c r="W282" s="378"/>
      <c r="X282" s="380"/>
      <c r="Y282" s="380"/>
      <c r="Z282" s="380"/>
      <c r="AA282" s="380"/>
      <c r="AB282" s="380"/>
      <c r="AC282" s="380"/>
      <c r="AD282" s="198"/>
    </row>
    <row r="283" spans="1:30" ht="26.25" customHeight="1" x14ac:dyDescent="0.2">
      <c r="A283" s="1269" t="s">
        <v>633</v>
      </c>
      <c r="B283" s="1270"/>
      <c r="C283" s="1270"/>
      <c r="D283" s="1270"/>
      <c r="E283" s="1270"/>
      <c r="F283" s="1270"/>
      <c r="G283" s="1270"/>
      <c r="H283" s="1270"/>
      <c r="I283" s="1270"/>
      <c r="J283" s="1270"/>
      <c r="K283" s="1270"/>
      <c r="L283" s="1270"/>
      <c r="M283" s="1272"/>
      <c r="N283" s="1273"/>
      <c r="O283" s="1273"/>
      <c r="P283" s="1273"/>
      <c r="Q283" s="1274"/>
      <c r="R283" s="531" t="s">
        <v>752</v>
      </c>
      <c r="S283" s="383" t="str">
        <f>IF(ISBLANK(M283),"",VLOOKUP(M283,VPriorCap,2,FALSE))</f>
        <v/>
      </c>
      <c r="T283" s="151" t="s">
        <v>634</v>
      </c>
      <c r="U283" s="380"/>
      <c r="V283" s="380"/>
      <c r="W283" s="380"/>
      <c r="X283" s="380"/>
      <c r="Y283" s="380"/>
      <c r="Z283" s="380"/>
      <c r="AA283" s="380"/>
      <c r="AB283" s="380"/>
      <c r="AC283" s="380"/>
      <c r="AD283" s="198"/>
    </row>
    <row r="284" spans="1:30" ht="26.25" customHeight="1" x14ac:dyDescent="0.2">
      <c r="A284" s="1286" t="s">
        <v>636</v>
      </c>
      <c r="B284" s="1287"/>
      <c r="C284" s="1287"/>
      <c r="D284" s="1287"/>
      <c r="E284" s="1287"/>
      <c r="F284" s="1287"/>
      <c r="G284" s="1287"/>
      <c r="H284" s="1287"/>
      <c r="I284" s="1287"/>
      <c r="J284" s="1287"/>
      <c r="K284" s="1287"/>
      <c r="L284" s="1287"/>
      <c r="M284" s="1287"/>
      <c r="N284" s="1287"/>
      <c r="O284" s="1287"/>
      <c r="P284" s="1287"/>
      <c r="Q284" s="1288"/>
      <c r="R284" s="531" t="s">
        <v>752</v>
      </c>
      <c r="S284" s="386" t="str">
        <f>IF(ISBLANK(A285),"",A285)</f>
        <v/>
      </c>
      <c r="T284" s="151" t="s">
        <v>583</v>
      </c>
      <c r="U284" s="380"/>
      <c r="V284" s="380"/>
      <c r="W284" s="380"/>
      <c r="X284" s="380"/>
      <c r="Y284" s="380"/>
      <c r="Z284" s="380"/>
      <c r="AA284" s="380"/>
      <c r="AB284" s="380"/>
      <c r="AC284" s="380"/>
      <c r="AD284" s="198"/>
    </row>
    <row r="285" spans="1:30" ht="26.25" customHeight="1" x14ac:dyDescent="0.2">
      <c r="A285" s="1278"/>
      <c r="B285" s="1255"/>
      <c r="C285" s="1255"/>
      <c r="D285" s="1255"/>
      <c r="E285" s="1255"/>
      <c r="F285" s="1255"/>
      <c r="G285" s="1255"/>
      <c r="H285" s="1255"/>
      <c r="I285" s="1255"/>
      <c r="J285" s="1255"/>
      <c r="K285" s="1255"/>
      <c r="L285" s="1255"/>
      <c r="M285" s="1255"/>
      <c r="N285" s="1255"/>
      <c r="O285" s="1255"/>
      <c r="P285" s="1255"/>
      <c r="Q285" s="1285"/>
      <c r="R285" s="531" t="s">
        <v>752</v>
      </c>
      <c r="S285" s="380"/>
      <c r="T285" s="380"/>
      <c r="U285" s="380"/>
      <c r="V285" s="380"/>
      <c r="W285" s="380"/>
      <c r="X285" s="380"/>
      <c r="Y285" s="380"/>
      <c r="Z285" s="380"/>
      <c r="AA285" s="380"/>
      <c r="AB285" s="380"/>
      <c r="AC285" s="380"/>
      <c r="AD285" s="198"/>
    </row>
    <row r="286" spans="1:30" ht="26.25" customHeight="1" x14ac:dyDescent="0.2">
      <c r="A286" s="1289"/>
      <c r="B286" s="1290"/>
      <c r="C286" s="1290"/>
      <c r="D286" s="1290"/>
      <c r="E286" s="1290"/>
      <c r="F286" s="1290"/>
      <c r="G286" s="1290"/>
      <c r="H286" s="1290"/>
      <c r="I286" s="1290"/>
      <c r="J286" s="1290"/>
      <c r="K286" s="1290"/>
      <c r="L286" s="1290"/>
      <c r="M286" s="1290"/>
      <c r="N286" s="1290"/>
      <c r="O286" s="1290"/>
      <c r="P286" s="1290"/>
      <c r="Q286" s="1291"/>
      <c r="R286" s="531" t="s">
        <v>752</v>
      </c>
      <c r="S286" s="380"/>
      <c r="T286" s="380"/>
      <c r="U286" s="380"/>
      <c r="V286" s="380"/>
      <c r="W286" s="380"/>
      <c r="X286" s="380"/>
      <c r="Y286" s="380"/>
      <c r="Z286" s="380"/>
      <c r="AA286" s="380"/>
      <c r="AB286" s="380"/>
      <c r="AC286" s="380"/>
      <c r="AD286" s="198"/>
    </row>
    <row r="287" spans="1:30" ht="26.25" customHeight="1" x14ac:dyDescent="0.2">
      <c r="A287" s="1292" t="s">
        <v>638</v>
      </c>
      <c r="B287" s="1293"/>
      <c r="C287" s="1293"/>
      <c r="D287" s="1293"/>
      <c r="E287" s="1293"/>
      <c r="F287" s="1293"/>
      <c r="G287" s="1293"/>
      <c r="H287" s="1293"/>
      <c r="I287" s="1293"/>
      <c r="J287" s="1293"/>
      <c r="K287" s="1293"/>
      <c r="L287" s="1293"/>
      <c r="M287" s="1293"/>
      <c r="N287" s="1293"/>
      <c r="O287" s="1293"/>
      <c r="P287" s="1293"/>
      <c r="Q287" s="1294"/>
      <c r="R287" s="534" t="s">
        <v>752</v>
      </c>
      <c r="S287" s="382"/>
      <c r="T287" s="382"/>
      <c r="U287" s="382"/>
      <c r="V287" s="382"/>
      <c r="W287" s="380"/>
      <c r="X287" s="380"/>
      <c r="Y287" s="380"/>
      <c r="Z287" s="380"/>
      <c r="AA287" s="198"/>
      <c r="AB287" s="198"/>
      <c r="AC287" s="198"/>
      <c r="AD287" s="198"/>
    </row>
    <row r="288" spans="1:30" ht="26.25" customHeight="1" x14ac:dyDescent="0.2">
      <c r="A288" s="1278"/>
      <c r="B288" s="1255"/>
      <c r="C288" s="1255"/>
      <c r="D288" s="1255"/>
      <c r="E288" s="1255"/>
      <c r="F288" s="1255"/>
      <c r="G288" s="1255"/>
      <c r="H288" s="1255"/>
      <c r="I288" s="1255"/>
      <c r="J288" s="1255"/>
      <c r="K288" s="1255"/>
      <c r="L288" s="1255"/>
      <c r="M288" s="1255"/>
      <c r="N288" s="1255"/>
      <c r="O288" s="1255"/>
      <c r="P288" s="1255"/>
      <c r="Q288" s="1256"/>
      <c r="R288" s="534" t="s">
        <v>752</v>
      </c>
      <c r="S288" s="386" t="str">
        <f>IF(ISBLANK(A288),"",A288)</f>
        <v/>
      </c>
      <c r="T288" s="354" t="s">
        <v>194</v>
      </c>
      <c r="U288" s="380"/>
      <c r="V288" s="380"/>
      <c r="W288" s="380"/>
      <c r="X288" s="388"/>
      <c r="Y288" s="388"/>
      <c r="Z288" s="388"/>
      <c r="AA288" s="382"/>
      <c r="AB288" s="382"/>
      <c r="AC288" s="382"/>
      <c r="AD288" s="198"/>
    </row>
    <row r="289" spans="1:30" ht="26.25" customHeight="1" thickBot="1" x14ac:dyDescent="0.25">
      <c r="A289" s="1266"/>
      <c r="B289" s="1267"/>
      <c r="C289" s="1267"/>
      <c r="D289" s="1267"/>
      <c r="E289" s="1267"/>
      <c r="F289" s="1267"/>
      <c r="G289" s="1267"/>
      <c r="H289" s="1267"/>
      <c r="I289" s="1267"/>
      <c r="J289" s="1267"/>
      <c r="K289" s="1267"/>
      <c r="L289" s="1267"/>
      <c r="M289" s="1267"/>
      <c r="N289" s="1267"/>
      <c r="O289" s="1267"/>
      <c r="P289" s="1267"/>
      <c r="Q289" s="1268"/>
      <c r="R289" s="531" t="s">
        <v>752</v>
      </c>
      <c r="S289" s="380"/>
      <c r="T289" s="354"/>
      <c r="U289" s="380"/>
      <c r="V289" s="380"/>
      <c r="W289" s="380"/>
      <c r="X289" s="394"/>
      <c r="Y289" s="394"/>
      <c r="Z289" s="394"/>
      <c r="AA289" s="380"/>
      <c r="AB289" s="380"/>
      <c r="AC289" s="380"/>
      <c r="AD289" s="198"/>
    </row>
    <row r="290" spans="1:30" ht="26.25" customHeight="1" x14ac:dyDescent="0.2">
      <c r="A290" s="1260" t="s">
        <v>640</v>
      </c>
      <c r="B290" s="1261"/>
      <c r="C290" s="1261"/>
      <c r="D290" s="1261"/>
      <c r="E290" s="1261"/>
      <c r="F290" s="1261"/>
      <c r="G290" s="1261"/>
      <c r="H290" s="1261"/>
      <c r="I290" s="1261"/>
      <c r="J290" s="1261"/>
      <c r="K290" s="1261"/>
      <c r="L290" s="1261"/>
      <c r="M290" s="1261"/>
      <c r="N290" s="1261"/>
      <c r="O290" s="1261"/>
      <c r="P290" s="1261"/>
      <c r="Q290" s="1262"/>
      <c r="R290" s="531" t="s">
        <v>752</v>
      </c>
      <c r="S290" s="382" t="s">
        <v>641</v>
      </c>
      <c r="T290" s="378"/>
      <c r="U290" s="378"/>
      <c r="V290" s="378"/>
      <c r="W290" s="380"/>
      <c r="X290" s="198"/>
      <c r="Y290" s="198"/>
      <c r="Z290" s="198"/>
      <c r="AA290" s="380"/>
      <c r="AB290" s="380"/>
      <c r="AC290" s="380"/>
      <c r="AD290" s="198"/>
    </row>
    <row r="291" spans="1:30" ht="26.25" customHeight="1" x14ac:dyDescent="0.2">
      <c r="A291" s="1295" t="s">
        <v>642</v>
      </c>
      <c r="B291" s="1296"/>
      <c r="C291" s="1296"/>
      <c r="D291" s="1296"/>
      <c r="E291" s="1296"/>
      <c r="F291" s="1296"/>
      <c r="G291" s="1296"/>
      <c r="H291" s="1296"/>
      <c r="I291" s="1296"/>
      <c r="J291" s="1296"/>
      <c r="K291" s="1296"/>
      <c r="L291" s="1297"/>
      <c r="M291" s="1272"/>
      <c r="N291" s="1273"/>
      <c r="O291" s="1273"/>
      <c r="P291" s="1273"/>
      <c r="Q291" s="1274"/>
      <c r="R291" s="531" t="s">
        <v>752</v>
      </c>
      <c r="S291" s="387" t="str">
        <f>IF(ISBLANK(M291),"",VLOOKUP(M291,VImpact,2,FALSE))</f>
        <v/>
      </c>
      <c r="T291" s="151" t="s">
        <v>643</v>
      </c>
      <c r="U291" s="380"/>
      <c r="V291" s="380"/>
      <c r="W291" s="380"/>
      <c r="X291" s="198"/>
      <c r="Y291" s="198"/>
      <c r="Z291" s="198"/>
      <c r="AA291" s="380"/>
      <c r="AB291" s="380"/>
      <c r="AC291" s="380"/>
      <c r="AD291" s="198"/>
    </row>
    <row r="292" spans="1:30" ht="26.25" customHeight="1" x14ac:dyDescent="0.2">
      <c r="A292" s="1269" t="s">
        <v>644</v>
      </c>
      <c r="B292" s="1270"/>
      <c r="C292" s="1270"/>
      <c r="D292" s="1270"/>
      <c r="E292" s="1270"/>
      <c r="F292" s="1270"/>
      <c r="G292" s="1270"/>
      <c r="H292" s="1270"/>
      <c r="I292" s="1270"/>
      <c r="J292" s="1270"/>
      <c r="K292" s="1270"/>
      <c r="L292" s="1271"/>
      <c r="M292" s="1272"/>
      <c r="N292" s="1273"/>
      <c r="O292" s="1273"/>
      <c r="P292" s="1273"/>
      <c r="Q292" s="1274"/>
      <c r="R292" s="531" t="s">
        <v>752</v>
      </c>
      <c r="S292" s="387" t="str">
        <f>IF(ISBLANK(M292),"",VLOOKUP(M292,VEvidence,2,FALSE))</f>
        <v/>
      </c>
      <c r="T292" s="233" t="s">
        <v>645</v>
      </c>
      <c r="U292" s="380"/>
      <c r="V292" s="380"/>
      <c r="W292" s="388"/>
      <c r="X292" s="198"/>
      <c r="Y292" s="198"/>
      <c r="Z292" s="198"/>
      <c r="AA292" s="380"/>
      <c r="AB292" s="380"/>
      <c r="AC292" s="380"/>
      <c r="AD292" s="198"/>
    </row>
    <row r="293" spans="1:30" ht="26.25" customHeight="1" x14ac:dyDescent="0.2">
      <c r="A293" s="1275" t="s">
        <v>646</v>
      </c>
      <c r="B293" s="1276"/>
      <c r="C293" s="1276"/>
      <c r="D293" s="1276"/>
      <c r="E293" s="1276"/>
      <c r="F293" s="1276"/>
      <c r="G293" s="1276"/>
      <c r="H293" s="1276"/>
      <c r="I293" s="1276"/>
      <c r="J293" s="1276"/>
      <c r="K293" s="1276"/>
      <c r="L293" s="1276"/>
      <c r="M293" s="1276"/>
      <c r="N293" s="1276"/>
      <c r="O293" s="1276"/>
      <c r="P293" s="1276"/>
      <c r="Q293" s="1277"/>
      <c r="R293" s="531" t="s">
        <v>752</v>
      </c>
      <c r="S293" s="386" t="str">
        <f>IF(ISBLANK(A294),"",A294)</f>
        <v/>
      </c>
      <c r="T293" s="354" t="s">
        <v>193</v>
      </c>
      <c r="U293" s="380"/>
      <c r="V293" s="380"/>
      <c r="W293" s="394"/>
      <c r="X293" s="198"/>
      <c r="Y293" s="198"/>
      <c r="Z293" s="198"/>
      <c r="AA293" s="380"/>
      <c r="AB293" s="380"/>
      <c r="AC293" s="380"/>
      <c r="AD293" s="198"/>
    </row>
    <row r="294" spans="1:30" ht="26.25" customHeight="1" x14ac:dyDescent="0.2">
      <c r="A294" s="1278"/>
      <c r="B294" s="1255"/>
      <c r="C294" s="1255"/>
      <c r="D294" s="1255"/>
      <c r="E294" s="1255"/>
      <c r="F294" s="1255"/>
      <c r="G294" s="1255"/>
      <c r="H294" s="1255"/>
      <c r="I294" s="1255"/>
      <c r="J294" s="1255"/>
      <c r="K294" s="1255"/>
      <c r="L294" s="1255"/>
      <c r="M294" s="1255"/>
      <c r="N294" s="1255"/>
      <c r="O294" s="1255"/>
      <c r="P294" s="1255"/>
      <c r="Q294" s="1256"/>
      <c r="R294" s="531" t="s">
        <v>752</v>
      </c>
      <c r="S294" s="380"/>
      <c r="T294" s="389"/>
      <c r="U294" s="380"/>
      <c r="V294" s="380"/>
      <c r="W294" s="198"/>
      <c r="X294" s="198"/>
      <c r="Y294" s="198"/>
      <c r="Z294" s="198"/>
      <c r="AA294" s="380"/>
      <c r="AB294" s="380"/>
      <c r="AC294" s="380"/>
      <c r="AD294" s="198"/>
    </row>
    <row r="295" spans="1:30" ht="26.25" customHeight="1" x14ac:dyDescent="0.2">
      <c r="A295" s="1279"/>
      <c r="B295" s="1280"/>
      <c r="C295" s="1280"/>
      <c r="D295" s="1280"/>
      <c r="E295" s="1280"/>
      <c r="F295" s="1280"/>
      <c r="G295" s="1280"/>
      <c r="H295" s="1280"/>
      <c r="I295" s="1280"/>
      <c r="J295" s="1280"/>
      <c r="K295" s="1280"/>
      <c r="L295" s="1280"/>
      <c r="M295" s="1280"/>
      <c r="N295" s="1280"/>
      <c r="O295" s="1280"/>
      <c r="P295" s="1280"/>
      <c r="Q295" s="1281"/>
      <c r="R295" s="531" t="s">
        <v>752</v>
      </c>
      <c r="S295" s="380"/>
      <c r="T295" s="389"/>
      <c r="U295" s="380"/>
      <c r="V295" s="380"/>
      <c r="W295" s="198"/>
      <c r="X295" s="349"/>
      <c r="Y295" s="349"/>
      <c r="Z295" s="349"/>
      <c r="AA295" s="380"/>
      <c r="AB295" s="380"/>
      <c r="AC295" s="380"/>
      <c r="AD295" s="198"/>
    </row>
    <row r="296" spans="1:30" ht="26.25" customHeight="1" x14ac:dyDescent="0.2">
      <c r="A296" s="1282" t="s">
        <v>647</v>
      </c>
      <c r="B296" s="1283"/>
      <c r="C296" s="1283"/>
      <c r="D296" s="1283"/>
      <c r="E296" s="1283"/>
      <c r="F296" s="1283"/>
      <c r="G296" s="1283"/>
      <c r="H296" s="1283"/>
      <c r="I296" s="1283"/>
      <c r="J296" s="1283"/>
      <c r="K296" s="1283"/>
      <c r="L296" s="1283"/>
      <c r="M296" s="1283"/>
      <c r="N296" s="1283"/>
      <c r="O296" s="1283"/>
      <c r="P296" s="1283"/>
      <c r="Q296" s="1284"/>
      <c r="R296" s="531" t="s">
        <v>752</v>
      </c>
      <c r="S296" s="386" t="str">
        <f>IF(ISBLANK(A297),"",A297)</f>
        <v/>
      </c>
      <c r="T296" s="389" t="s">
        <v>584</v>
      </c>
      <c r="U296" s="380"/>
      <c r="V296" s="380"/>
      <c r="W296" s="198"/>
      <c r="X296" s="198"/>
      <c r="Y296" s="198"/>
      <c r="Z296" s="198"/>
      <c r="AA296" s="380"/>
      <c r="AB296" s="380"/>
      <c r="AC296" s="380"/>
      <c r="AD296" s="198"/>
    </row>
    <row r="297" spans="1:30" ht="26.25" customHeight="1" x14ac:dyDescent="0.2">
      <c r="A297" s="1278"/>
      <c r="B297" s="1255"/>
      <c r="C297" s="1255"/>
      <c r="D297" s="1255"/>
      <c r="E297" s="1255"/>
      <c r="F297" s="1255"/>
      <c r="G297" s="1255"/>
      <c r="H297" s="1255"/>
      <c r="I297" s="1255"/>
      <c r="J297" s="1255"/>
      <c r="K297" s="1255"/>
      <c r="L297" s="1255"/>
      <c r="M297" s="1255"/>
      <c r="N297" s="1255"/>
      <c r="O297" s="1255"/>
      <c r="P297" s="1255"/>
      <c r="Q297" s="1285"/>
      <c r="R297" s="534" t="s">
        <v>752</v>
      </c>
      <c r="U297" s="380"/>
      <c r="V297" s="380"/>
      <c r="W297" s="198"/>
      <c r="X297" s="198"/>
      <c r="Y297" s="198"/>
      <c r="Z297" s="198"/>
      <c r="AA297" s="380"/>
      <c r="AB297" s="380"/>
      <c r="AC297" s="380"/>
      <c r="AD297" s="198"/>
    </row>
    <row r="298" spans="1:30" ht="26.25" customHeight="1" thickBot="1" x14ac:dyDescent="0.25">
      <c r="A298" s="1257"/>
      <c r="B298" s="1258"/>
      <c r="C298" s="1258"/>
      <c r="D298" s="1258"/>
      <c r="E298" s="1258"/>
      <c r="F298" s="1258"/>
      <c r="G298" s="1258"/>
      <c r="H298" s="1258"/>
      <c r="I298" s="1258"/>
      <c r="J298" s="1258"/>
      <c r="K298" s="1258"/>
      <c r="L298" s="1258"/>
      <c r="M298" s="1258"/>
      <c r="N298" s="1258"/>
      <c r="O298" s="1258"/>
      <c r="P298" s="1258"/>
      <c r="Q298" s="1259"/>
      <c r="R298" s="534" t="s">
        <v>752</v>
      </c>
      <c r="S298" s="380"/>
      <c r="T298" s="380"/>
      <c r="U298" s="380"/>
      <c r="V298" s="380"/>
      <c r="W298" s="198"/>
      <c r="X298" s="198"/>
      <c r="Y298" s="198"/>
      <c r="Z298" s="198"/>
      <c r="AA298" s="198"/>
      <c r="AB298" s="198"/>
      <c r="AC298" s="198"/>
      <c r="AD298" s="198"/>
    </row>
    <row r="299" spans="1:30" ht="26.25" customHeight="1" x14ac:dyDescent="0.2">
      <c r="A299" s="1251" t="s">
        <v>649</v>
      </c>
      <c r="B299" s="1252"/>
      <c r="C299" s="1252"/>
      <c r="D299" s="1252"/>
      <c r="E299" s="1252"/>
      <c r="F299" s="1252"/>
      <c r="G299" s="1252"/>
      <c r="H299" s="1252"/>
      <c r="I299" s="1252"/>
      <c r="J299" s="1252"/>
      <c r="K299" s="1252"/>
      <c r="L299" s="1252"/>
      <c r="M299" s="1252"/>
      <c r="N299" s="1252"/>
      <c r="O299" s="1252"/>
      <c r="P299" s="1252"/>
      <c r="Q299" s="1253"/>
      <c r="R299" s="531" t="s">
        <v>752</v>
      </c>
      <c r="S299" s="392" t="str">
        <f>IF(ISBLANK(A300),"",A300)</f>
        <v/>
      </c>
      <c r="T299" s="393" t="s">
        <v>650</v>
      </c>
      <c r="W299" s="349"/>
      <c r="X299" s="349"/>
      <c r="Y299" s="349"/>
      <c r="Z299" s="349"/>
      <c r="AA299" s="378"/>
      <c r="AB299" s="378"/>
      <c r="AC299" s="378"/>
      <c r="AD299" s="198"/>
    </row>
    <row r="300" spans="1:30" ht="26.25" customHeight="1" x14ac:dyDescent="0.2">
      <c r="A300" s="1278"/>
      <c r="B300" s="1255"/>
      <c r="C300" s="1255"/>
      <c r="D300" s="1255"/>
      <c r="E300" s="1255"/>
      <c r="F300" s="1255"/>
      <c r="G300" s="1255"/>
      <c r="H300" s="1255"/>
      <c r="I300" s="1255"/>
      <c r="J300" s="1255"/>
      <c r="K300" s="1255"/>
      <c r="L300" s="1255"/>
      <c r="M300" s="1255"/>
      <c r="N300" s="1255"/>
      <c r="O300" s="1255"/>
      <c r="P300" s="1255"/>
      <c r="Q300" s="1256"/>
      <c r="R300" s="531" t="s">
        <v>752</v>
      </c>
      <c r="W300" s="198"/>
      <c r="X300" s="380"/>
      <c r="Y300" s="380"/>
      <c r="Z300" s="380"/>
      <c r="AA300" s="380"/>
      <c r="AB300" s="380"/>
      <c r="AC300" s="380"/>
      <c r="AD300" s="198"/>
    </row>
    <row r="301" spans="1:30" ht="26.25" customHeight="1" thickBot="1" x14ac:dyDescent="0.25">
      <c r="A301" s="1257"/>
      <c r="B301" s="1258"/>
      <c r="C301" s="1258"/>
      <c r="D301" s="1258"/>
      <c r="E301" s="1258"/>
      <c r="F301" s="1258"/>
      <c r="G301" s="1258"/>
      <c r="H301" s="1258"/>
      <c r="I301" s="1258"/>
      <c r="J301" s="1258"/>
      <c r="K301" s="1258"/>
      <c r="L301" s="1258"/>
      <c r="M301" s="1258"/>
      <c r="N301" s="1258"/>
      <c r="O301" s="1258"/>
      <c r="P301" s="1258"/>
      <c r="Q301" s="1259"/>
      <c r="R301" s="531" t="s">
        <v>752</v>
      </c>
      <c r="S301" s="352"/>
      <c r="T301" s="352"/>
      <c r="U301" s="352"/>
      <c r="V301" s="352"/>
      <c r="W301" s="198"/>
      <c r="X301" s="380"/>
      <c r="Y301" s="380"/>
      <c r="Z301" s="380"/>
      <c r="AA301" s="380"/>
      <c r="AB301" s="380"/>
      <c r="AC301" s="380"/>
      <c r="AD301" s="198"/>
    </row>
    <row r="302" spans="1:30" ht="26.25" customHeight="1" x14ac:dyDescent="0.2">
      <c r="A302" s="1260" t="s">
        <v>651</v>
      </c>
      <c r="B302" s="1261"/>
      <c r="C302" s="1261"/>
      <c r="D302" s="1261"/>
      <c r="E302" s="1261"/>
      <c r="F302" s="1261"/>
      <c r="G302" s="1261"/>
      <c r="H302" s="1261"/>
      <c r="I302" s="1261"/>
      <c r="J302" s="1261"/>
      <c r="K302" s="1261"/>
      <c r="L302" s="1261"/>
      <c r="M302" s="1261"/>
      <c r="N302" s="1261"/>
      <c r="O302" s="1261"/>
      <c r="P302" s="1261"/>
      <c r="Q302" s="1262"/>
      <c r="R302" s="531" t="s">
        <v>752</v>
      </c>
      <c r="S302" s="395"/>
      <c r="T302" s="396"/>
      <c r="U302" s="390"/>
      <c r="V302" s="390"/>
      <c r="W302" s="198"/>
      <c r="X302" s="380"/>
      <c r="Y302" s="380"/>
      <c r="Z302" s="380"/>
      <c r="AA302" s="380"/>
      <c r="AB302" s="380"/>
      <c r="AC302" s="380"/>
      <c r="AD302" s="198"/>
    </row>
    <row r="303" spans="1:30" ht="26.25" customHeight="1" x14ac:dyDescent="0.2">
      <c r="A303" s="1263"/>
      <c r="B303" s="1264"/>
      <c r="C303" s="1264"/>
      <c r="D303" s="1264"/>
      <c r="E303" s="1264"/>
      <c r="F303" s="1264"/>
      <c r="G303" s="1264"/>
      <c r="H303" s="1264"/>
      <c r="I303" s="1264"/>
      <c r="J303" s="1264"/>
      <c r="K303" s="1264"/>
      <c r="L303" s="1264"/>
      <c r="M303" s="1264"/>
      <c r="N303" s="1264"/>
      <c r="O303" s="1264"/>
      <c r="P303" s="1264"/>
      <c r="Q303" s="1265"/>
      <c r="R303" s="531" t="s">
        <v>752</v>
      </c>
      <c r="S303" s="397" t="str">
        <f>IF(ISBLANK(A303),"",CONCATENATE(S302,A303))</f>
        <v/>
      </c>
      <c r="T303" s="354" t="s">
        <v>195</v>
      </c>
      <c r="U303" s="183"/>
      <c r="V303" s="183"/>
      <c r="W303" s="349"/>
      <c r="X303" s="380"/>
      <c r="Y303" s="380"/>
      <c r="Z303" s="380"/>
      <c r="AA303" s="380"/>
      <c r="AB303" s="380"/>
      <c r="AC303" s="380"/>
      <c r="AD303" s="198"/>
    </row>
    <row r="304" spans="1:30" ht="26.25" customHeight="1" thickBot="1" x14ac:dyDescent="0.25">
      <c r="A304" s="1266"/>
      <c r="B304" s="1267"/>
      <c r="C304" s="1267"/>
      <c r="D304" s="1267"/>
      <c r="E304" s="1267"/>
      <c r="F304" s="1267"/>
      <c r="G304" s="1267"/>
      <c r="H304" s="1267"/>
      <c r="I304" s="1267"/>
      <c r="J304" s="1267"/>
      <c r="K304" s="1267"/>
      <c r="L304" s="1267"/>
      <c r="M304" s="1267"/>
      <c r="N304" s="1267"/>
      <c r="O304" s="1267"/>
      <c r="P304" s="1267"/>
      <c r="Q304" s="1268"/>
      <c r="R304" s="531" t="s">
        <v>752</v>
      </c>
      <c r="S304" s="198"/>
      <c r="T304" s="198"/>
      <c r="U304" s="198"/>
      <c r="V304" s="198"/>
      <c r="W304" s="380"/>
      <c r="X304" s="380"/>
      <c r="Y304" s="380"/>
      <c r="Z304" s="380"/>
      <c r="AA304" s="380"/>
      <c r="AB304" s="380"/>
      <c r="AC304" s="380"/>
      <c r="AD304" s="198"/>
    </row>
    <row r="305" spans="1:38" ht="26.25" customHeight="1" thickBot="1" x14ac:dyDescent="0.25">
      <c r="A305" s="1369" t="e">
        <f>$A$1</f>
        <v>#N/A</v>
      </c>
      <c r="B305" s="1369"/>
      <c r="C305" s="1369"/>
      <c r="D305" s="1369"/>
      <c r="E305" s="1369"/>
      <c r="F305" s="1369"/>
      <c r="G305" s="1369"/>
      <c r="H305" s="1369"/>
      <c r="I305" s="1369"/>
      <c r="J305" s="1369"/>
      <c r="K305" s="1369"/>
      <c r="L305" s="1369"/>
      <c r="M305" s="1369"/>
      <c r="N305" s="1369"/>
      <c r="O305" s="1369"/>
      <c r="P305" s="1369"/>
      <c r="Q305" s="1369"/>
      <c r="R305" s="531" t="s">
        <v>752</v>
      </c>
      <c r="S305" s="388"/>
      <c r="T305" s="388"/>
      <c r="U305" s="388"/>
      <c r="V305" s="388"/>
      <c r="W305" s="380"/>
      <c r="X305" s="380"/>
      <c r="Y305" s="380"/>
      <c r="Z305" s="380"/>
      <c r="AA305" s="380"/>
      <c r="AB305" s="380"/>
      <c r="AC305" s="380"/>
      <c r="AD305" s="198"/>
    </row>
    <row r="306" spans="1:38" ht="26.25" customHeight="1" thickBot="1" x14ac:dyDescent="0.25">
      <c r="A306" s="1364" t="s">
        <v>205</v>
      </c>
      <c r="B306" s="1365"/>
      <c r="C306" s="1365"/>
      <c r="D306" s="1365"/>
      <c r="E306" s="1365"/>
      <c r="F306" s="1365"/>
      <c r="G306" s="1365"/>
      <c r="H306" s="1365"/>
      <c r="I306" s="1365"/>
      <c r="J306" s="1365"/>
      <c r="K306" s="1365"/>
      <c r="L306" s="1365"/>
      <c r="M306" s="1365"/>
      <c r="N306" s="1366" t="str">
        <f>$N$5</f>
        <v>2024 Report Year</v>
      </c>
      <c r="O306" s="1367"/>
      <c r="P306" s="1367"/>
      <c r="Q306" s="1368"/>
      <c r="R306" s="534" t="s">
        <v>752</v>
      </c>
      <c r="S306" s="394"/>
      <c r="T306" s="394"/>
      <c r="U306" s="394"/>
      <c r="V306" s="394"/>
      <c r="W306" s="380"/>
      <c r="X306" s="380"/>
      <c r="Y306" s="380"/>
      <c r="Z306" s="380"/>
      <c r="AA306" s="380"/>
      <c r="AB306" s="380"/>
      <c r="AC306" s="380"/>
      <c r="AD306" s="198"/>
    </row>
    <row r="307" spans="1:38" ht="26.25" customHeight="1" x14ac:dyDescent="0.2">
      <c r="A307" s="1351" t="str">
        <f>IF(AND(OR(ISNA(cap_exp_contact),TRIM(cap_exp_contact)=""),NOT(ISBLANK(code_7594))),"The Capital Expenditure Contact information has NOT been provided.  Please complete this information now.","")</f>
        <v/>
      </c>
      <c r="B307" s="1352"/>
      <c r="C307" s="1352"/>
      <c r="D307" s="1352"/>
      <c r="E307" s="1352"/>
      <c r="F307" s="1352"/>
      <c r="G307" s="1352"/>
      <c r="H307" s="1352"/>
      <c r="I307" s="1352"/>
      <c r="J307" s="1352"/>
      <c r="K307" s="1352"/>
      <c r="L307" s="1352"/>
      <c r="M307" s="1352"/>
      <c r="N307" s="343" t="s">
        <v>602</v>
      </c>
      <c r="O307" s="344" t="e">
        <f>$O$6</f>
        <v>#N/A</v>
      </c>
      <c r="P307" s="345" t="s">
        <v>603</v>
      </c>
      <c r="Q307" s="346" t="e">
        <f>IF(ISBLANK(Q264),"",Q264+1)</f>
        <v>#VALUE!</v>
      </c>
      <c r="R307" s="534" t="s">
        <v>752</v>
      </c>
      <c r="S307" s="198"/>
      <c r="T307" s="198"/>
      <c r="U307" s="198"/>
      <c r="V307" s="198"/>
      <c r="W307" s="380"/>
      <c r="X307" s="380"/>
      <c r="Y307" s="380"/>
      <c r="Z307" s="380"/>
      <c r="AA307" s="380"/>
      <c r="AB307" s="380"/>
      <c r="AC307" s="380"/>
      <c r="AD307" s="198"/>
    </row>
    <row r="308" spans="1:38" ht="26.25" customHeight="1" thickBot="1" x14ac:dyDescent="0.25">
      <c r="A308" s="1353" t="s">
        <v>197</v>
      </c>
      <c r="B308" s="1354"/>
      <c r="C308" s="1354"/>
      <c r="D308" s="1354"/>
      <c r="E308" s="1355"/>
      <c r="F308" s="1356"/>
      <c r="G308" s="1356"/>
      <c r="H308" s="1356"/>
      <c r="I308" s="1356"/>
      <c r="J308" s="1356"/>
      <c r="K308" s="1356"/>
      <c r="L308" s="1357"/>
      <c r="M308" s="550" t="s">
        <v>752</v>
      </c>
      <c r="N308" s="1358" t="s">
        <v>604</v>
      </c>
      <c r="O308" s="1359"/>
      <c r="P308" s="1359"/>
      <c r="Q308" s="1360"/>
      <c r="R308" s="531" t="s">
        <v>752</v>
      </c>
      <c r="S308" s="348" t="str">
        <f>IF(ISBLANK(E308),"",E308)</f>
        <v/>
      </c>
      <c r="T308" s="143" t="s">
        <v>495</v>
      </c>
      <c r="U308" s="280"/>
      <c r="V308" s="280"/>
      <c r="W308" s="380"/>
      <c r="X308" s="380"/>
      <c r="Y308" s="380"/>
      <c r="Z308" s="380"/>
      <c r="AA308" s="380"/>
      <c r="AB308" s="380"/>
      <c r="AC308" s="380"/>
      <c r="AD308" s="198"/>
    </row>
    <row r="309" spans="1:38" ht="26.25" customHeight="1" x14ac:dyDescent="0.2">
      <c r="A309" s="1361" t="s">
        <v>605</v>
      </c>
      <c r="B309" s="1362"/>
      <c r="C309" s="1362"/>
      <c r="D309" s="1363"/>
      <c r="E309" s="1339"/>
      <c r="F309" s="1340"/>
      <c r="G309" s="1340"/>
      <c r="H309" s="1340"/>
      <c r="I309" s="1340"/>
      <c r="J309" s="1340"/>
      <c r="K309" s="1340"/>
      <c r="L309" s="1341"/>
      <c r="M309" s="1342" t="str">
        <f>IF(AND(ISBLANK(E309),OR(NOT(ISBLANK(E310)),NOT(ISBLANK(E311)),NOT(ISBLANK(E312)),NOT(ISBLANK(I313)),NOT(ISBLANK(A315)))),"This information is required.","")</f>
        <v/>
      </c>
      <c r="N309" s="1343"/>
      <c r="O309" s="1343"/>
      <c r="P309" s="1343"/>
      <c r="Q309" s="551" t="s">
        <v>752</v>
      </c>
      <c r="R309" s="531" t="s">
        <v>752</v>
      </c>
      <c r="S309" s="348" t="str">
        <f>IF(ISBLANK(E309),"",E309)</f>
        <v/>
      </c>
      <c r="T309" s="143" t="s">
        <v>185</v>
      </c>
      <c r="U309" s="280"/>
      <c r="V309" s="280"/>
      <c r="W309" s="380"/>
      <c r="X309" s="198"/>
      <c r="Y309" s="198"/>
      <c r="Z309" s="198"/>
      <c r="AA309" s="388"/>
      <c r="AB309" s="388"/>
      <c r="AC309" s="388"/>
      <c r="AD309" s="352"/>
    </row>
    <row r="310" spans="1:38" ht="26.25" customHeight="1" x14ac:dyDescent="0.2">
      <c r="A310" s="1325" t="s">
        <v>606</v>
      </c>
      <c r="B310" s="1326"/>
      <c r="C310" s="1326"/>
      <c r="D310" s="1327"/>
      <c r="E310" s="1339"/>
      <c r="F310" s="1340"/>
      <c r="G310" s="1340"/>
      <c r="H310" s="1340"/>
      <c r="I310" s="1340"/>
      <c r="J310" s="1340"/>
      <c r="K310" s="1340"/>
      <c r="L310" s="1341"/>
      <c r="M310" s="1342" t="str">
        <f>IF(AND(ISBLANK(E310),OR(NOT(ISBLANK(E309)),NOT(ISBLANK(E311)),NOT(ISBLANK(E312)),NOT(ISBLANK(I313)),NOT(ISBLANK(A315)))),"This information is required.","")</f>
        <v/>
      </c>
      <c r="N310" s="1343"/>
      <c r="O310" s="1343"/>
      <c r="P310" s="1343"/>
      <c r="Q310" s="551" t="s">
        <v>752</v>
      </c>
      <c r="R310" s="531" t="s">
        <v>752</v>
      </c>
      <c r="S310" s="348" t="str">
        <f>IF(ISBLANK(E310),"",E310)</f>
        <v/>
      </c>
      <c r="T310" s="143" t="s">
        <v>186</v>
      </c>
      <c r="U310" s="280"/>
      <c r="V310" s="280"/>
      <c r="W310" s="380"/>
      <c r="X310" s="378"/>
      <c r="Y310" s="378"/>
      <c r="Z310" s="378"/>
      <c r="AA310" s="394"/>
      <c r="AB310" s="394"/>
      <c r="AC310" s="394"/>
      <c r="AD310" s="352"/>
    </row>
    <row r="311" spans="1:38" ht="26.25" customHeight="1" x14ac:dyDescent="0.2">
      <c r="A311" s="1344" t="s">
        <v>607</v>
      </c>
      <c r="B311" s="1345"/>
      <c r="C311" s="1345"/>
      <c r="D311" s="1346"/>
      <c r="E311" s="1347"/>
      <c r="F311" s="1348"/>
      <c r="G311" s="1349" t="s">
        <v>608</v>
      </c>
      <c r="H311" s="1349"/>
      <c r="I311" s="1349"/>
      <c r="J311" s="1349"/>
      <c r="K311" s="1349"/>
      <c r="L311" s="1349"/>
      <c r="M311" s="1350" t="str">
        <f>IF(AND(ISBLANK(E311),OR(NOT(ISBLANK(E309)),NOT(ISBLANK(E310)),NOT(ISBLANK(E312)),NOT(ISBLANK(I313)),NOT(ISBLANK(A315)))),"This information is required.","")</f>
        <v/>
      </c>
      <c r="N311" s="1202"/>
      <c r="O311" s="1202"/>
      <c r="P311" s="1202"/>
      <c r="Q311" s="532" t="s">
        <v>752</v>
      </c>
      <c r="R311" s="531" t="s">
        <v>752</v>
      </c>
      <c r="S311" s="350" t="str">
        <f>IF(ISBLANK(E311),"",E311)</f>
        <v/>
      </c>
      <c r="T311" s="351" t="s">
        <v>188</v>
      </c>
      <c r="U311" s="349"/>
      <c r="V311" s="349"/>
      <c r="W311" s="380"/>
      <c r="X311" s="380"/>
      <c r="Y311" s="380"/>
      <c r="Z311" s="380"/>
      <c r="AA311" s="198"/>
      <c r="AB311" s="198"/>
      <c r="AC311" s="198"/>
      <c r="AD311" s="352"/>
      <c r="AL311" s="200"/>
    </row>
    <row r="312" spans="1:38" ht="26.25" customHeight="1" x14ac:dyDescent="0.2">
      <c r="A312" s="1325" t="s">
        <v>609</v>
      </c>
      <c r="B312" s="1326"/>
      <c r="C312" s="1326"/>
      <c r="D312" s="1327"/>
      <c r="E312" s="1328"/>
      <c r="F312" s="1329"/>
      <c r="G312" s="1337" t="s">
        <v>752</v>
      </c>
      <c r="H312" s="1338"/>
      <c r="I312" s="1338"/>
      <c r="J312" s="1338"/>
      <c r="K312" s="1338"/>
      <c r="L312" s="1338"/>
      <c r="M312" s="1202" t="str">
        <f>IF(AND(ISBLANK(E312),OR(NOT(ISBLANK(E309)),NOT(ISBLANK(E310)),NOT(ISBLANK(E311)),NOT(ISBLANK(I313)),NOT(ISBLANK(A315)))),"This information is required.","")</f>
        <v/>
      </c>
      <c r="N312" s="1202"/>
      <c r="O312" s="1202"/>
      <c r="P312" s="1202"/>
      <c r="Q312" s="532" t="s">
        <v>752</v>
      </c>
      <c r="R312" s="531" t="s">
        <v>752</v>
      </c>
      <c r="S312" s="353" t="str">
        <f>IF(ISBLANK(E312),"",E312)</f>
        <v/>
      </c>
      <c r="T312" s="354" t="s">
        <v>189</v>
      </c>
      <c r="U312" s="318"/>
      <c r="V312" s="318"/>
      <c r="W312" s="380"/>
      <c r="X312" s="380"/>
      <c r="Y312" s="380"/>
      <c r="Z312" s="380"/>
      <c r="AA312" s="198"/>
      <c r="AB312" s="198"/>
      <c r="AC312" s="198"/>
      <c r="AD312" s="352"/>
      <c r="AL312" s="200"/>
    </row>
    <row r="313" spans="1:38" ht="26.25" customHeight="1" thickBot="1" x14ac:dyDescent="0.25">
      <c r="A313" s="1330" t="s">
        <v>610</v>
      </c>
      <c r="B313" s="1331"/>
      <c r="C313" s="1331"/>
      <c r="D313" s="1331"/>
      <c r="E313" s="1332"/>
      <c r="F313" s="1332"/>
      <c r="G313" s="1332"/>
      <c r="H313" s="1332"/>
      <c r="I313" s="1333"/>
      <c r="J313" s="1333"/>
      <c r="K313" s="1334" t="s">
        <v>611</v>
      </c>
      <c r="L313" s="1335"/>
      <c r="M313" s="1336" t="str">
        <f>IF(AND(ISBLANK(I313),OR(NOT(ISBLANK(E309)),NOT(ISBLANK(E310)),NOT(ISBLANK(E311)),NOT(ISBLANK(E312)),NOT(ISBLANK(A315)))),"This information is required!","")</f>
        <v/>
      </c>
      <c r="N313" s="1336"/>
      <c r="O313" s="1336"/>
      <c r="P313" s="1336"/>
      <c r="Q313" s="553" t="s">
        <v>752</v>
      </c>
      <c r="R313" s="531" t="s">
        <v>752</v>
      </c>
      <c r="S313" s="353" t="str">
        <f>IF(ISBLANK(I313),"",I313)</f>
        <v/>
      </c>
      <c r="T313" s="354" t="s">
        <v>190</v>
      </c>
      <c r="U313" s="355"/>
      <c r="V313" s="355"/>
      <c r="W313" s="198"/>
      <c r="X313" s="380"/>
      <c r="Y313" s="380"/>
      <c r="Z313" s="380"/>
      <c r="AA313" s="198"/>
      <c r="AB313" s="198"/>
      <c r="AC313" s="198"/>
      <c r="AD313" s="198"/>
      <c r="AL313" s="124"/>
    </row>
    <row r="314" spans="1:38" ht="26.25" customHeight="1" x14ac:dyDescent="0.2">
      <c r="A314" s="1251" t="s">
        <v>613</v>
      </c>
      <c r="B314" s="1252"/>
      <c r="C314" s="1252"/>
      <c r="D314" s="1252"/>
      <c r="E314" s="1252"/>
      <c r="F314" s="1252"/>
      <c r="G314" s="1252"/>
      <c r="H314" s="1252"/>
      <c r="I314" s="1252"/>
      <c r="J314" s="1317"/>
      <c r="K314" s="1318" t="s">
        <v>679</v>
      </c>
      <c r="L314" s="1318"/>
      <c r="M314" s="1318"/>
      <c r="N314" s="1318"/>
      <c r="O314" s="1320" t="s">
        <v>614</v>
      </c>
      <c r="P314" s="1320"/>
      <c r="Q314" s="1321"/>
      <c r="R314" s="531" t="s">
        <v>752</v>
      </c>
      <c r="S314" s="353" t="str">
        <f>IF(ISBLANK(A315),"",A315)</f>
        <v/>
      </c>
      <c r="T314" s="354" t="s">
        <v>191</v>
      </c>
      <c r="U314" s="357"/>
      <c r="V314" s="357"/>
      <c r="W314" s="378"/>
      <c r="X314" s="380"/>
      <c r="Y314" s="380"/>
      <c r="Z314" s="380"/>
      <c r="AA314" s="198"/>
      <c r="AB314" s="198"/>
      <c r="AC314" s="198"/>
      <c r="AD314" s="198"/>
      <c r="AL314" s="124"/>
    </row>
    <row r="315" spans="1:38" ht="26.25" customHeight="1" x14ac:dyDescent="0.2">
      <c r="A315" s="1263"/>
      <c r="B315" s="1264"/>
      <c r="C315" s="1264"/>
      <c r="D315" s="1264"/>
      <c r="E315" s="1264"/>
      <c r="F315" s="1264"/>
      <c r="G315" s="1264"/>
      <c r="H315" s="1264"/>
      <c r="I315" s="1264"/>
      <c r="J315" s="1305"/>
      <c r="K315" s="1319"/>
      <c r="L315" s="1319"/>
      <c r="M315" s="1319"/>
      <c r="N315" s="1319"/>
      <c r="O315" s="555" t="s">
        <v>752</v>
      </c>
      <c r="P315" s="214" t="s">
        <v>265</v>
      </c>
      <c r="Q315" s="358" t="s">
        <v>266</v>
      </c>
      <c r="R315" s="531" t="s">
        <v>752</v>
      </c>
      <c r="S315" s="353" t="str">
        <f>IF(ISBLANK(A318),"",A318)</f>
        <v/>
      </c>
      <c r="T315" s="359" t="s">
        <v>192</v>
      </c>
      <c r="U315" s="357"/>
      <c r="V315" s="357"/>
      <c r="W315" s="380"/>
      <c r="X315" s="380"/>
      <c r="Y315" s="380"/>
      <c r="Z315" s="380"/>
      <c r="AA315" s="198"/>
      <c r="AB315" s="198"/>
      <c r="AC315" s="198"/>
      <c r="AD315" s="198"/>
      <c r="AL315" s="124"/>
    </row>
    <row r="316" spans="1:38" ht="26.25" customHeight="1" x14ac:dyDescent="0.2">
      <c r="A316" s="1279"/>
      <c r="B316" s="1280"/>
      <c r="C316" s="1280"/>
      <c r="D316" s="1280"/>
      <c r="E316" s="1280"/>
      <c r="F316" s="1280"/>
      <c r="G316" s="1280"/>
      <c r="H316" s="1280"/>
      <c r="I316" s="1280"/>
      <c r="J316" s="1306"/>
      <c r="K316" s="1307" t="s">
        <v>615</v>
      </c>
      <c r="L316" s="1308"/>
      <c r="M316" s="1308"/>
      <c r="N316" s="1308"/>
      <c r="O316" s="1309"/>
      <c r="P316" s="365"/>
      <c r="Q316" s="400"/>
      <c r="R316" s="355" t="str">
        <f>IF(COUNTBLANK(P316:Q316)=2,"Please enter response.",IF(COUNTBLANK(P316:Q316)&lt;&gt;1,"Please VERIFY response.",""))</f>
        <v>Please enter response.</v>
      </c>
      <c r="S316" s="366" t="str">
        <f>IF(AND(ISBLANK(P316),ISBLANK(Q316)),"",IF(ISBLANK(P316),0,1))</f>
        <v/>
      </c>
      <c r="T316" s="233" t="s">
        <v>586</v>
      </c>
      <c r="U316" s="200"/>
      <c r="V316" s="200"/>
      <c r="W316" s="380"/>
      <c r="X316" s="380"/>
      <c r="Y316" s="380"/>
      <c r="Z316" s="380"/>
      <c r="AA316" s="349"/>
      <c r="AB316" s="349"/>
      <c r="AC316" s="349"/>
      <c r="AD316" s="399"/>
      <c r="AL316" s="124"/>
    </row>
    <row r="317" spans="1:38" ht="26.25" customHeight="1" x14ac:dyDescent="0.2">
      <c r="A317" s="1322" t="s">
        <v>616</v>
      </c>
      <c r="B317" s="1323"/>
      <c r="C317" s="1323"/>
      <c r="D317" s="1323"/>
      <c r="E317" s="1323"/>
      <c r="F317" s="1323"/>
      <c r="G317" s="1323"/>
      <c r="H317" s="1323"/>
      <c r="I317" s="1323"/>
      <c r="J317" s="1324"/>
      <c r="K317" s="1307" t="s">
        <v>617</v>
      </c>
      <c r="L317" s="1308"/>
      <c r="M317" s="1308"/>
      <c r="N317" s="1308"/>
      <c r="O317" s="1309"/>
      <c r="P317" s="365"/>
      <c r="Q317" s="400"/>
      <c r="R317" s="355" t="str">
        <f>IF(COUNTBLANK(P317:Q317)=2,"Please enter response.",IF(COUNTBLANK(P317:Q317)&lt;&gt;1,"Please VERIFY response.",""))</f>
        <v>Please enter response.</v>
      </c>
      <c r="S317" s="366" t="str">
        <f>IF(AND(ISBLANK(P317),ISBLANK(Q317)),"",IF(ISBLANK(P317),0,1))</f>
        <v/>
      </c>
      <c r="T317" s="233" t="s">
        <v>587</v>
      </c>
      <c r="U317" s="200"/>
      <c r="V317" s="200"/>
      <c r="W317" s="380"/>
      <c r="X317" s="380"/>
      <c r="Y317" s="380"/>
      <c r="Z317" s="380"/>
      <c r="AA317" s="198"/>
      <c r="AB317" s="198"/>
      <c r="AC317" s="198"/>
      <c r="AD317" s="198"/>
      <c r="AL317" s="124"/>
    </row>
    <row r="318" spans="1:38" ht="26.25" customHeight="1" x14ac:dyDescent="0.2">
      <c r="A318" s="1263"/>
      <c r="B318" s="1264"/>
      <c r="C318" s="1264"/>
      <c r="D318" s="1264"/>
      <c r="E318" s="1264"/>
      <c r="F318" s="1264"/>
      <c r="G318" s="1264"/>
      <c r="H318" s="1264"/>
      <c r="I318" s="1264"/>
      <c r="J318" s="1305"/>
      <c r="K318" s="1307" t="s">
        <v>618</v>
      </c>
      <c r="L318" s="1308"/>
      <c r="M318" s="1308"/>
      <c r="N318" s="1308"/>
      <c r="O318" s="1309"/>
      <c r="P318" s="365"/>
      <c r="Q318" s="400"/>
      <c r="R318" s="355" t="str">
        <f>IF(COUNTBLANK(P318:Q318)=2,"Please enter response.",IF(COUNTBLANK(P318:Q318)&lt;&gt;1,"Please VERIFY response.",""))</f>
        <v>Please enter response.</v>
      </c>
      <c r="S318" s="366" t="str">
        <f>IF(AND(ISBLANK(P318),ISBLANK(Q318)),"",IF(ISBLANK(P318),0,1))</f>
        <v/>
      </c>
      <c r="T318" s="233" t="s">
        <v>588</v>
      </c>
      <c r="U318" s="200"/>
      <c r="V318" s="200"/>
      <c r="W318" s="380"/>
      <c r="X318" s="380"/>
      <c r="Y318" s="380"/>
      <c r="Z318" s="380"/>
      <c r="AA318" s="198"/>
      <c r="AB318" s="198"/>
      <c r="AC318" s="198"/>
      <c r="AD318" s="198"/>
      <c r="AL318" s="124"/>
    </row>
    <row r="319" spans="1:38" ht="26.25" customHeight="1" x14ac:dyDescent="0.2">
      <c r="A319" s="1279"/>
      <c r="B319" s="1280"/>
      <c r="C319" s="1280"/>
      <c r="D319" s="1280"/>
      <c r="E319" s="1280"/>
      <c r="F319" s="1280"/>
      <c r="G319" s="1280"/>
      <c r="H319" s="1280"/>
      <c r="I319" s="1280"/>
      <c r="J319" s="1306"/>
      <c r="K319" s="1307" t="s">
        <v>619</v>
      </c>
      <c r="L319" s="1308"/>
      <c r="M319" s="1308"/>
      <c r="N319" s="1308"/>
      <c r="O319" s="1309"/>
      <c r="P319" s="365"/>
      <c r="Q319" s="400"/>
      <c r="R319" s="355" t="str">
        <f>IF(COUNTBLANK(P319:Q319)=2,"Please enter response.",IF(COUNTBLANK(P319:Q319)&lt;&gt;1,"Please VERIFY response.",""))</f>
        <v>Please enter response.</v>
      </c>
      <c r="S319" s="366" t="str">
        <f>IF(AND(ISBLANK(P319),ISBLANK(Q319)),"",IF(ISBLANK(P319),0,1))</f>
        <v/>
      </c>
      <c r="T319" s="233" t="s">
        <v>589</v>
      </c>
      <c r="U319" s="200"/>
      <c r="V319" s="200"/>
      <c r="W319" s="380"/>
      <c r="X319" s="380"/>
      <c r="Y319" s="380"/>
      <c r="Z319" s="380"/>
      <c r="AA319" s="198"/>
      <c r="AB319" s="198"/>
      <c r="AC319" s="198"/>
      <c r="AD319" s="352"/>
      <c r="AL319" s="124"/>
    </row>
    <row r="320" spans="1:38" ht="26.25" customHeight="1" x14ac:dyDescent="0.25">
      <c r="A320" s="1310" t="s">
        <v>620</v>
      </c>
      <c r="B320" s="1311"/>
      <c r="C320" s="1311"/>
      <c r="D320" s="1311"/>
      <c r="E320" s="1311"/>
      <c r="F320" s="1311"/>
      <c r="G320" s="1311"/>
      <c r="H320" s="1311"/>
      <c r="I320" s="1311"/>
      <c r="J320" s="1311"/>
      <c r="K320" s="1311"/>
      <c r="L320" s="1311"/>
      <c r="M320" s="1311"/>
      <c r="N320" s="1311"/>
      <c r="O320" s="1311"/>
      <c r="P320" s="1311"/>
      <c r="Q320" s="1312"/>
      <c r="R320" s="534" t="s">
        <v>752</v>
      </c>
      <c r="S320" s="377"/>
      <c r="T320" s="368"/>
      <c r="U320" s="368"/>
      <c r="V320" s="368"/>
      <c r="W320" s="380"/>
      <c r="X320" s="388"/>
      <c r="Y320" s="388"/>
      <c r="Z320" s="388"/>
      <c r="AA320" s="349"/>
      <c r="AB320" s="349"/>
      <c r="AC320" s="349"/>
      <c r="AD320" s="385"/>
      <c r="AL320" s="124"/>
    </row>
    <row r="321" spans="1:38" ht="26.25" customHeight="1" x14ac:dyDescent="0.2">
      <c r="A321" s="1313" t="s">
        <v>621</v>
      </c>
      <c r="B321" s="1314"/>
      <c r="C321" s="1314"/>
      <c r="D321" s="1314"/>
      <c r="E321" s="1314" t="s">
        <v>622</v>
      </c>
      <c r="F321" s="1314"/>
      <c r="G321" s="1314"/>
      <c r="H321" s="1314"/>
      <c r="I321" s="1314" t="s">
        <v>623</v>
      </c>
      <c r="J321" s="1314"/>
      <c r="K321" s="1314"/>
      <c r="L321" s="1314"/>
      <c r="M321" s="1315" t="s">
        <v>624</v>
      </c>
      <c r="N321" s="1314"/>
      <c r="O321" s="1314"/>
      <c r="P321" s="1314"/>
      <c r="Q321" s="1316"/>
      <c r="R321" s="534" t="s">
        <v>752</v>
      </c>
      <c r="S321" s="1298" t="s">
        <v>625</v>
      </c>
      <c r="T321" s="1298"/>
      <c r="U321" s="1298"/>
      <c r="V321" s="1298"/>
      <c r="W321" s="380"/>
      <c r="X321" s="378"/>
      <c r="Y321" s="378"/>
      <c r="Z321" s="378"/>
      <c r="AA321" s="380"/>
      <c r="AB321" s="380"/>
      <c r="AC321" s="380"/>
      <c r="AD321" s="198"/>
      <c r="AL321" s="124"/>
    </row>
    <row r="322" spans="1:38" ht="26.25" customHeight="1" thickBot="1" x14ac:dyDescent="0.3">
      <c r="A322" s="1299"/>
      <c r="B322" s="848"/>
      <c r="C322" s="848"/>
      <c r="D322" s="848"/>
      <c r="E322" s="848"/>
      <c r="F322" s="848"/>
      <c r="G322" s="848"/>
      <c r="H322" s="848"/>
      <c r="I322" s="848"/>
      <c r="J322" s="848"/>
      <c r="K322" s="848"/>
      <c r="L322" s="848"/>
      <c r="M322" s="1300"/>
      <c r="N322" s="1300"/>
      <c r="O322" s="1300"/>
      <c r="P322" s="1300"/>
      <c r="Q322" s="1301"/>
      <c r="R322" s="531" t="s">
        <v>752</v>
      </c>
      <c r="S322" s="381" t="str">
        <f>IF(ISBLANK(A322),"",VLOOKUP(A322,VProjType,2,FALSE))</f>
        <v/>
      </c>
      <c r="T322" s="381" t="str">
        <f>IF(ISBLANK(E322),"",VLOOKUP(E322,VSubtype1,2,FALSE))</f>
        <v/>
      </c>
      <c r="U322" s="381" t="str">
        <f>IF(ISBLANK(I322),"",VLOOKUP(I322,VSubtype2,2,FALSE))</f>
        <v/>
      </c>
      <c r="V322" s="381" t="str">
        <f>IF(ISBLANK(M322),"",VLOOKUP(M322,VSubtype3,2,FALSE))</f>
        <v/>
      </c>
      <c r="W322" s="380"/>
      <c r="X322" s="380"/>
      <c r="Y322" s="380"/>
      <c r="Z322" s="380"/>
      <c r="AA322" s="380"/>
      <c r="AB322" s="380"/>
      <c r="AC322" s="380"/>
      <c r="AD322" s="385"/>
      <c r="AL322" s="200"/>
    </row>
    <row r="323" spans="1:38" ht="26.25" customHeight="1" x14ac:dyDescent="0.25">
      <c r="A323" s="1302" t="s">
        <v>627</v>
      </c>
      <c r="B323" s="1303"/>
      <c r="C323" s="1303"/>
      <c r="D323" s="1303"/>
      <c r="E323" s="1303"/>
      <c r="F323" s="1303"/>
      <c r="G323" s="1303"/>
      <c r="H323" s="1303"/>
      <c r="I323" s="1303"/>
      <c r="J323" s="1303"/>
      <c r="K323" s="1303"/>
      <c r="L323" s="1303"/>
      <c r="M323" s="1303"/>
      <c r="N323" s="1303"/>
      <c r="O323" s="1303"/>
      <c r="P323" s="1303"/>
      <c r="Q323" s="1304"/>
      <c r="R323" s="531" t="s">
        <v>752</v>
      </c>
      <c r="S323" s="382" t="s">
        <v>628</v>
      </c>
      <c r="T323" s="378"/>
      <c r="U323" s="378"/>
      <c r="V323" s="378"/>
      <c r="W323" s="380"/>
      <c r="X323" s="380"/>
      <c r="Y323" s="380"/>
      <c r="Z323" s="380"/>
      <c r="AA323" s="380"/>
      <c r="AB323" s="380"/>
      <c r="AC323" s="380"/>
      <c r="AD323" s="385"/>
      <c r="AL323" s="200"/>
    </row>
    <row r="324" spans="1:38" ht="26.25" customHeight="1" x14ac:dyDescent="0.25">
      <c r="A324" s="1269" t="s">
        <v>629</v>
      </c>
      <c r="B324" s="1270"/>
      <c r="C324" s="1270"/>
      <c r="D324" s="1270"/>
      <c r="E324" s="1270"/>
      <c r="F324" s="1270"/>
      <c r="G324" s="1270"/>
      <c r="H324" s="1270"/>
      <c r="I324" s="1270"/>
      <c r="J324" s="1270"/>
      <c r="K324" s="1270"/>
      <c r="L324" s="1271"/>
      <c r="M324" s="1272"/>
      <c r="N324" s="1273"/>
      <c r="O324" s="1273"/>
      <c r="P324" s="1273"/>
      <c r="Q324" s="1274"/>
      <c r="R324" s="531" t="s">
        <v>752</v>
      </c>
      <c r="S324" s="383" t="str">
        <f>IF(ISBLANK(M324),"",VLOOKUP(M324,VRemote,2,FALSE))</f>
        <v/>
      </c>
      <c r="T324" s="384" t="s">
        <v>630</v>
      </c>
      <c r="U324" s="378"/>
      <c r="V324" s="378"/>
      <c r="W324" s="388"/>
      <c r="X324" s="380"/>
      <c r="Y324" s="380"/>
      <c r="Z324" s="380"/>
      <c r="AA324" s="380"/>
      <c r="AB324" s="380"/>
      <c r="AC324" s="380"/>
      <c r="AD324" s="385"/>
      <c r="AL324" s="200"/>
    </row>
    <row r="325" spans="1:38" ht="26.25" customHeight="1" x14ac:dyDescent="0.25">
      <c r="A325" s="1269" t="s">
        <v>631</v>
      </c>
      <c r="B325" s="1270"/>
      <c r="C325" s="1270"/>
      <c r="D325" s="1270"/>
      <c r="E325" s="1270"/>
      <c r="F325" s="1270"/>
      <c r="G325" s="1270"/>
      <c r="H325" s="1270"/>
      <c r="I325" s="1270"/>
      <c r="J325" s="1270"/>
      <c r="K325" s="1270"/>
      <c r="L325" s="1270"/>
      <c r="M325" s="1272"/>
      <c r="N325" s="1273"/>
      <c r="O325" s="1273"/>
      <c r="P325" s="1273"/>
      <c r="Q325" s="1274"/>
      <c r="R325" s="531" t="s">
        <v>752</v>
      </c>
      <c r="S325" s="383" t="str">
        <f>IF(ISBLANK(M325),"",VLOOKUP(M325,VCapacity,2,FALSE))</f>
        <v/>
      </c>
      <c r="T325" s="151" t="s">
        <v>632</v>
      </c>
      <c r="U325" s="380"/>
      <c r="V325" s="380"/>
      <c r="W325" s="378"/>
      <c r="X325" s="380"/>
      <c r="Y325" s="380"/>
      <c r="Z325" s="380"/>
      <c r="AA325" s="380"/>
      <c r="AB325" s="380"/>
      <c r="AC325" s="380"/>
      <c r="AD325" s="385"/>
      <c r="AL325" s="200"/>
    </row>
    <row r="326" spans="1:38" ht="26.25" customHeight="1" x14ac:dyDescent="0.25">
      <c r="A326" s="1269" t="s">
        <v>633</v>
      </c>
      <c r="B326" s="1270"/>
      <c r="C326" s="1270"/>
      <c r="D326" s="1270"/>
      <c r="E326" s="1270"/>
      <c r="F326" s="1270"/>
      <c r="G326" s="1270"/>
      <c r="H326" s="1270"/>
      <c r="I326" s="1270"/>
      <c r="J326" s="1270"/>
      <c r="K326" s="1270"/>
      <c r="L326" s="1270"/>
      <c r="M326" s="1272"/>
      <c r="N326" s="1273"/>
      <c r="O326" s="1273"/>
      <c r="P326" s="1273"/>
      <c r="Q326" s="1274"/>
      <c r="R326" s="531" t="s">
        <v>752</v>
      </c>
      <c r="S326" s="383" t="str">
        <f>IF(ISBLANK(M326),"",VLOOKUP(M326,VPriorCap,2,FALSE))</f>
        <v/>
      </c>
      <c r="T326" s="151" t="s">
        <v>634</v>
      </c>
      <c r="U326" s="380"/>
      <c r="V326" s="380"/>
      <c r="W326" s="380"/>
      <c r="X326" s="380"/>
      <c r="Y326" s="380"/>
      <c r="Z326" s="380"/>
      <c r="AA326" s="380"/>
      <c r="AB326" s="380"/>
      <c r="AC326" s="380"/>
      <c r="AD326" s="385"/>
    </row>
    <row r="327" spans="1:38" ht="26.25" customHeight="1" x14ac:dyDescent="0.25">
      <c r="A327" s="1286" t="s">
        <v>636</v>
      </c>
      <c r="B327" s="1287"/>
      <c r="C327" s="1287"/>
      <c r="D327" s="1287"/>
      <c r="E327" s="1287"/>
      <c r="F327" s="1287"/>
      <c r="G327" s="1287"/>
      <c r="H327" s="1287"/>
      <c r="I327" s="1287"/>
      <c r="J327" s="1287"/>
      <c r="K327" s="1287"/>
      <c r="L327" s="1287"/>
      <c r="M327" s="1287"/>
      <c r="N327" s="1287"/>
      <c r="O327" s="1287"/>
      <c r="P327" s="1287"/>
      <c r="Q327" s="1288"/>
      <c r="R327" s="531" t="s">
        <v>752</v>
      </c>
      <c r="S327" s="386" t="str">
        <f>IF(ISBLANK(A328),"",A328)</f>
        <v/>
      </c>
      <c r="T327" s="151" t="s">
        <v>583</v>
      </c>
      <c r="U327" s="380"/>
      <c r="V327" s="380"/>
      <c r="W327" s="380"/>
      <c r="X327" s="380"/>
      <c r="Y327" s="380"/>
      <c r="Z327" s="380"/>
      <c r="AA327" s="380"/>
      <c r="AB327" s="380"/>
      <c r="AC327" s="380"/>
      <c r="AD327" s="385"/>
    </row>
    <row r="328" spans="1:38" ht="25.9" customHeight="1" x14ac:dyDescent="0.25">
      <c r="A328" s="1278"/>
      <c r="B328" s="1255"/>
      <c r="C328" s="1255"/>
      <c r="D328" s="1255"/>
      <c r="E328" s="1255"/>
      <c r="F328" s="1255"/>
      <c r="G328" s="1255"/>
      <c r="H328" s="1255"/>
      <c r="I328" s="1255"/>
      <c r="J328" s="1255"/>
      <c r="K328" s="1255"/>
      <c r="L328" s="1255"/>
      <c r="M328" s="1255"/>
      <c r="N328" s="1255"/>
      <c r="O328" s="1255"/>
      <c r="P328" s="1255"/>
      <c r="Q328" s="1285"/>
      <c r="R328" s="531" t="s">
        <v>752</v>
      </c>
      <c r="S328" s="380"/>
      <c r="T328" s="380"/>
      <c r="U328" s="380"/>
      <c r="V328" s="380"/>
      <c r="W328" s="380"/>
      <c r="X328" s="380"/>
      <c r="Y328" s="380"/>
      <c r="Z328" s="380"/>
      <c r="AA328" s="380"/>
      <c r="AB328" s="380"/>
      <c r="AC328" s="380"/>
      <c r="AD328" s="385"/>
    </row>
    <row r="329" spans="1:38" ht="26.25" customHeight="1" x14ac:dyDescent="0.25">
      <c r="A329" s="1289"/>
      <c r="B329" s="1290"/>
      <c r="C329" s="1290"/>
      <c r="D329" s="1290"/>
      <c r="E329" s="1290"/>
      <c r="F329" s="1290"/>
      <c r="G329" s="1290"/>
      <c r="H329" s="1290"/>
      <c r="I329" s="1290"/>
      <c r="J329" s="1290"/>
      <c r="K329" s="1290"/>
      <c r="L329" s="1290"/>
      <c r="M329" s="1290"/>
      <c r="N329" s="1290"/>
      <c r="O329" s="1290"/>
      <c r="P329" s="1290"/>
      <c r="Q329" s="1291"/>
      <c r="R329" s="531" t="s">
        <v>752</v>
      </c>
      <c r="S329" s="380"/>
      <c r="T329" s="380"/>
      <c r="U329" s="380"/>
      <c r="V329" s="380"/>
      <c r="W329" s="380"/>
      <c r="X329" s="380"/>
      <c r="Y329" s="380"/>
      <c r="Z329" s="380"/>
      <c r="AA329" s="380"/>
      <c r="AB329" s="380"/>
      <c r="AC329" s="380"/>
      <c r="AD329" s="385"/>
    </row>
    <row r="330" spans="1:38" ht="26.25" customHeight="1" x14ac:dyDescent="0.25">
      <c r="A330" s="1292" t="s">
        <v>638</v>
      </c>
      <c r="B330" s="1293"/>
      <c r="C330" s="1293"/>
      <c r="D330" s="1293"/>
      <c r="E330" s="1293"/>
      <c r="F330" s="1293"/>
      <c r="G330" s="1293"/>
      <c r="H330" s="1293"/>
      <c r="I330" s="1293"/>
      <c r="J330" s="1293"/>
      <c r="K330" s="1293"/>
      <c r="L330" s="1293"/>
      <c r="M330" s="1293"/>
      <c r="N330" s="1293"/>
      <c r="O330" s="1293"/>
      <c r="P330" s="1293"/>
      <c r="Q330" s="1294"/>
      <c r="R330" s="534" t="s">
        <v>752</v>
      </c>
      <c r="S330" s="382"/>
      <c r="T330" s="382"/>
      <c r="U330" s="382"/>
      <c r="V330" s="382"/>
      <c r="W330" s="380"/>
      <c r="X330" s="380"/>
      <c r="Y330" s="380"/>
      <c r="Z330" s="380"/>
      <c r="AA330" s="198"/>
      <c r="AB330" s="198"/>
      <c r="AC330" s="198"/>
      <c r="AD330" s="401"/>
    </row>
    <row r="331" spans="1:38" ht="26.25" customHeight="1" x14ac:dyDescent="0.25">
      <c r="A331" s="1278"/>
      <c r="B331" s="1255"/>
      <c r="C331" s="1255"/>
      <c r="D331" s="1255"/>
      <c r="E331" s="1255"/>
      <c r="F331" s="1255"/>
      <c r="G331" s="1255"/>
      <c r="H331" s="1255"/>
      <c r="I331" s="1255"/>
      <c r="J331" s="1255"/>
      <c r="K331" s="1255"/>
      <c r="L331" s="1255"/>
      <c r="M331" s="1255"/>
      <c r="N331" s="1255"/>
      <c r="O331" s="1255"/>
      <c r="P331" s="1255"/>
      <c r="Q331" s="1256"/>
      <c r="R331" s="534" t="s">
        <v>752</v>
      </c>
      <c r="S331" s="386" t="str">
        <f>IF(ISBLANK(A331),"",A331)</f>
        <v/>
      </c>
      <c r="T331" s="354" t="s">
        <v>194</v>
      </c>
      <c r="U331" s="380"/>
      <c r="V331" s="380"/>
      <c r="W331" s="380"/>
      <c r="X331" s="198"/>
      <c r="Y331" s="198"/>
      <c r="Z331" s="198"/>
      <c r="AA331" s="378"/>
      <c r="AB331" s="378"/>
      <c r="AC331" s="378"/>
      <c r="AD331" s="385"/>
    </row>
    <row r="332" spans="1:38" ht="26.25" customHeight="1" thickBot="1" x14ac:dyDescent="0.25">
      <c r="A332" s="1266"/>
      <c r="B332" s="1267"/>
      <c r="C332" s="1267"/>
      <c r="D332" s="1267"/>
      <c r="E332" s="1267"/>
      <c r="F332" s="1267"/>
      <c r="G332" s="1267"/>
      <c r="H332" s="1267"/>
      <c r="I332" s="1267"/>
      <c r="J332" s="1267"/>
      <c r="K332" s="1267"/>
      <c r="L332" s="1267"/>
      <c r="M332" s="1267"/>
      <c r="N332" s="1267"/>
      <c r="O332" s="1267"/>
      <c r="P332" s="1267"/>
      <c r="Q332" s="1268"/>
      <c r="R332" s="531" t="s">
        <v>752</v>
      </c>
      <c r="S332" s="380"/>
      <c r="T332" s="354"/>
      <c r="U332" s="380"/>
      <c r="V332" s="380"/>
      <c r="W332" s="380"/>
      <c r="X332" s="382"/>
      <c r="Y332" s="382"/>
      <c r="Z332" s="382"/>
      <c r="AA332" s="380"/>
      <c r="AB332" s="380"/>
      <c r="AC332" s="380"/>
      <c r="AD332" s="198"/>
    </row>
    <row r="333" spans="1:38" ht="26.25" customHeight="1" x14ac:dyDescent="0.25">
      <c r="A333" s="1260" t="s">
        <v>640</v>
      </c>
      <c r="B333" s="1261"/>
      <c r="C333" s="1261"/>
      <c r="D333" s="1261"/>
      <c r="E333" s="1261"/>
      <c r="F333" s="1261"/>
      <c r="G333" s="1261"/>
      <c r="H333" s="1261"/>
      <c r="I333" s="1261"/>
      <c r="J333" s="1261"/>
      <c r="K333" s="1261"/>
      <c r="L333" s="1261"/>
      <c r="M333" s="1261"/>
      <c r="N333" s="1261"/>
      <c r="O333" s="1261"/>
      <c r="P333" s="1261"/>
      <c r="Q333" s="1262"/>
      <c r="R333" s="531" t="s">
        <v>752</v>
      </c>
      <c r="S333" s="382" t="s">
        <v>641</v>
      </c>
      <c r="T333" s="378"/>
      <c r="U333" s="378"/>
      <c r="V333" s="378"/>
      <c r="W333" s="380"/>
      <c r="X333" s="380"/>
      <c r="Y333" s="380"/>
      <c r="Z333" s="380"/>
      <c r="AA333" s="380"/>
      <c r="AB333" s="380"/>
      <c r="AC333" s="380"/>
      <c r="AD333" s="385"/>
    </row>
    <row r="334" spans="1:38" ht="26.25" customHeight="1" x14ac:dyDescent="0.25">
      <c r="A334" s="1295" t="s">
        <v>642</v>
      </c>
      <c r="B334" s="1296"/>
      <c r="C334" s="1296"/>
      <c r="D334" s="1296"/>
      <c r="E334" s="1296"/>
      <c r="F334" s="1296"/>
      <c r="G334" s="1296"/>
      <c r="H334" s="1296"/>
      <c r="I334" s="1296"/>
      <c r="J334" s="1296"/>
      <c r="K334" s="1296"/>
      <c r="L334" s="1297"/>
      <c r="M334" s="1272"/>
      <c r="N334" s="1273"/>
      <c r="O334" s="1273"/>
      <c r="P334" s="1273"/>
      <c r="Q334" s="1274"/>
      <c r="R334" s="531" t="s">
        <v>752</v>
      </c>
      <c r="S334" s="387" t="str">
        <f>IF(ISBLANK(M334),"",VLOOKUP(M334,VImpact,2,FALSE))</f>
        <v/>
      </c>
      <c r="T334" s="151" t="s">
        <v>643</v>
      </c>
      <c r="U334" s="380"/>
      <c r="V334" s="380"/>
      <c r="W334" s="380"/>
      <c r="X334" s="380"/>
      <c r="Y334" s="380"/>
      <c r="Z334" s="380"/>
      <c r="AA334" s="380"/>
      <c r="AB334" s="380"/>
      <c r="AC334" s="380"/>
      <c r="AD334" s="385"/>
    </row>
    <row r="335" spans="1:38" ht="26.25" customHeight="1" x14ac:dyDescent="0.25">
      <c r="A335" s="1269" t="s">
        <v>644</v>
      </c>
      <c r="B335" s="1270"/>
      <c r="C335" s="1270"/>
      <c r="D335" s="1270"/>
      <c r="E335" s="1270"/>
      <c r="F335" s="1270"/>
      <c r="G335" s="1270"/>
      <c r="H335" s="1270"/>
      <c r="I335" s="1270"/>
      <c r="J335" s="1270"/>
      <c r="K335" s="1270"/>
      <c r="L335" s="1271"/>
      <c r="M335" s="1272"/>
      <c r="N335" s="1273"/>
      <c r="O335" s="1273"/>
      <c r="P335" s="1273"/>
      <c r="Q335" s="1274"/>
      <c r="R335" s="531" t="s">
        <v>752</v>
      </c>
      <c r="S335" s="387" t="str">
        <f>IF(ISBLANK(M335),"",VLOOKUP(M335,VEvidence,2,FALSE))</f>
        <v/>
      </c>
      <c r="T335" s="233" t="s">
        <v>645</v>
      </c>
      <c r="U335" s="380"/>
      <c r="V335" s="380"/>
      <c r="W335" s="198"/>
      <c r="X335" s="380"/>
      <c r="Y335" s="380"/>
      <c r="Z335" s="380"/>
      <c r="AA335" s="380"/>
      <c r="AB335" s="380"/>
      <c r="AC335" s="380"/>
      <c r="AD335" s="385"/>
    </row>
    <row r="336" spans="1:38" ht="26.25" customHeight="1" x14ac:dyDescent="0.25">
      <c r="A336" s="1275" t="s">
        <v>646</v>
      </c>
      <c r="B336" s="1276"/>
      <c r="C336" s="1276"/>
      <c r="D336" s="1276"/>
      <c r="E336" s="1276"/>
      <c r="F336" s="1276"/>
      <c r="G336" s="1276"/>
      <c r="H336" s="1276"/>
      <c r="I336" s="1276"/>
      <c r="J336" s="1276"/>
      <c r="K336" s="1276"/>
      <c r="L336" s="1276"/>
      <c r="M336" s="1276"/>
      <c r="N336" s="1276"/>
      <c r="O336" s="1276"/>
      <c r="P336" s="1276"/>
      <c r="Q336" s="1277"/>
      <c r="R336" s="531" t="s">
        <v>752</v>
      </c>
      <c r="S336" s="386" t="str">
        <f>IF(ISBLANK(A337),"",A337)</f>
        <v/>
      </c>
      <c r="T336" s="354" t="s">
        <v>193</v>
      </c>
      <c r="U336" s="380"/>
      <c r="V336" s="380"/>
      <c r="W336" s="382"/>
      <c r="X336" s="380"/>
      <c r="Y336" s="380"/>
      <c r="Z336" s="380"/>
      <c r="AA336" s="380"/>
      <c r="AB336" s="380"/>
      <c r="AC336" s="380"/>
      <c r="AD336" s="385"/>
    </row>
    <row r="337" spans="1:30" ht="26.25" customHeight="1" x14ac:dyDescent="0.25">
      <c r="A337" s="1278"/>
      <c r="B337" s="1255"/>
      <c r="C337" s="1255"/>
      <c r="D337" s="1255"/>
      <c r="E337" s="1255"/>
      <c r="F337" s="1255"/>
      <c r="G337" s="1255"/>
      <c r="H337" s="1255"/>
      <c r="I337" s="1255"/>
      <c r="J337" s="1255"/>
      <c r="K337" s="1255"/>
      <c r="L337" s="1255"/>
      <c r="M337" s="1255"/>
      <c r="N337" s="1255"/>
      <c r="O337" s="1255"/>
      <c r="P337" s="1255"/>
      <c r="Q337" s="1256"/>
      <c r="R337" s="531" t="s">
        <v>752</v>
      </c>
      <c r="S337" s="380"/>
      <c r="T337" s="389"/>
      <c r="U337" s="380"/>
      <c r="V337" s="380"/>
      <c r="W337" s="380"/>
      <c r="X337" s="380"/>
      <c r="Y337" s="380"/>
      <c r="Z337" s="380"/>
      <c r="AA337" s="380"/>
      <c r="AB337" s="380"/>
      <c r="AC337" s="380"/>
      <c r="AD337" s="385"/>
    </row>
    <row r="338" spans="1:30" ht="26.25" customHeight="1" x14ac:dyDescent="0.25">
      <c r="A338" s="1279"/>
      <c r="B338" s="1280"/>
      <c r="C338" s="1280"/>
      <c r="D338" s="1280"/>
      <c r="E338" s="1280"/>
      <c r="F338" s="1280"/>
      <c r="G338" s="1280"/>
      <c r="H338" s="1280"/>
      <c r="I338" s="1280"/>
      <c r="J338" s="1280"/>
      <c r="K338" s="1280"/>
      <c r="L338" s="1280"/>
      <c r="M338" s="1280"/>
      <c r="N338" s="1280"/>
      <c r="O338" s="1280"/>
      <c r="P338" s="1280"/>
      <c r="Q338" s="1281"/>
      <c r="R338" s="531" t="s">
        <v>752</v>
      </c>
      <c r="S338" s="380"/>
      <c r="T338" s="389"/>
      <c r="U338" s="380"/>
      <c r="V338" s="380"/>
      <c r="W338" s="380"/>
      <c r="X338" s="380"/>
      <c r="Y338" s="380"/>
      <c r="Z338" s="380"/>
      <c r="AA338" s="380"/>
      <c r="AB338" s="380"/>
      <c r="AC338" s="380"/>
      <c r="AD338" s="385"/>
    </row>
    <row r="339" spans="1:30" ht="26.25" customHeight="1" x14ac:dyDescent="0.25">
      <c r="A339" s="1282" t="s">
        <v>647</v>
      </c>
      <c r="B339" s="1283"/>
      <c r="C339" s="1283"/>
      <c r="D339" s="1283"/>
      <c r="E339" s="1283"/>
      <c r="F339" s="1283"/>
      <c r="G339" s="1283"/>
      <c r="H339" s="1283"/>
      <c r="I339" s="1283"/>
      <c r="J339" s="1283"/>
      <c r="K339" s="1283"/>
      <c r="L339" s="1283"/>
      <c r="M339" s="1283"/>
      <c r="N339" s="1283"/>
      <c r="O339" s="1283"/>
      <c r="P339" s="1283"/>
      <c r="Q339" s="1284"/>
      <c r="R339" s="531" t="s">
        <v>752</v>
      </c>
      <c r="S339" s="386" t="str">
        <f>IF(ISBLANK(A340),"",A340)</f>
        <v/>
      </c>
      <c r="T339" s="389" t="s">
        <v>584</v>
      </c>
      <c r="U339" s="380"/>
      <c r="V339" s="380"/>
      <c r="W339" s="380"/>
      <c r="X339" s="380"/>
      <c r="Y339" s="380"/>
      <c r="Z339" s="380"/>
      <c r="AA339" s="380"/>
      <c r="AB339" s="380"/>
      <c r="AC339" s="380"/>
      <c r="AD339" s="385"/>
    </row>
    <row r="340" spans="1:30" ht="26.25" customHeight="1" x14ac:dyDescent="0.25">
      <c r="A340" s="1278"/>
      <c r="B340" s="1255"/>
      <c r="C340" s="1255"/>
      <c r="D340" s="1255"/>
      <c r="E340" s="1255"/>
      <c r="F340" s="1255"/>
      <c r="G340" s="1255"/>
      <c r="H340" s="1255"/>
      <c r="I340" s="1255"/>
      <c r="J340" s="1255"/>
      <c r="K340" s="1255"/>
      <c r="L340" s="1255"/>
      <c r="M340" s="1255"/>
      <c r="N340" s="1255"/>
      <c r="O340" s="1255"/>
      <c r="P340" s="1255"/>
      <c r="Q340" s="1285"/>
      <c r="R340" s="534" t="s">
        <v>752</v>
      </c>
      <c r="U340" s="380"/>
      <c r="V340" s="380"/>
      <c r="W340" s="380"/>
      <c r="X340" s="380"/>
      <c r="Y340" s="380"/>
      <c r="Z340" s="380"/>
      <c r="AA340" s="380"/>
      <c r="AB340" s="380"/>
      <c r="AC340" s="380"/>
      <c r="AD340" s="385"/>
    </row>
    <row r="341" spans="1:30" ht="26.25" customHeight="1" thickBot="1" x14ac:dyDescent="0.3">
      <c r="A341" s="1257"/>
      <c r="B341" s="1258"/>
      <c r="C341" s="1258"/>
      <c r="D341" s="1258"/>
      <c r="E341" s="1258"/>
      <c r="F341" s="1258"/>
      <c r="G341" s="1258"/>
      <c r="H341" s="1258"/>
      <c r="I341" s="1258"/>
      <c r="J341" s="1258"/>
      <c r="K341" s="1258"/>
      <c r="L341" s="1258"/>
      <c r="M341" s="1258"/>
      <c r="N341" s="1258"/>
      <c r="O341" s="1258"/>
      <c r="P341" s="1258"/>
      <c r="Q341" s="1259"/>
      <c r="R341" s="534" t="s">
        <v>752</v>
      </c>
      <c r="S341" s="380"/>
      <c r="T341" s="380"/>
      <c r="U341" s="380"/>
      <c r="V341" s="380"/>
      <c r="W341" s="380"/>
      <c r="X341" s="380"/>
      <c r="Y341" s="380"/>
      <c r="Z341" s="380"/>
      <c r="AA341" s="388"/>
      <c r="AB341" s="388"/>
      <c r="AC341" s="388"/>
      <c r="AD341" s="385"/>
    </row>
    <row r="342" spans="1:30" ht="26.25" customHeight="1" x14ac:dyDescent="0.25">
      <c r="A342" s="1251" t="s">
        <v>649</v>
      </c>
      <c r="B342" s="1252"/>
      <c r="C342" s="1252"/>
      <c r="D342" s="1252"/>
      <c r="E342" s="1252"/>
      <c r="F342" s="1252"/>
      <c r="G342" s="1252"/>
      <c r="H342" s="1252"/>
      <c r="I342" s="1252"/>
      <c r="J342" s="1252"/>
      <c r="K342" s="1252"/>
      <c r="L342" s="1252"/>
      <c r="M342" s="1252"/>
      <c r="N342" s="1252"/>
      <c r="O342" s="1252"/>
      <c r="P342" s="1252"/>
      <c r="Q342" s="1253"/>
      <c r="R342" s="531" t="s">
        <v>752</v>
      </c>
      <c r="S342" s="392" t="str">
        <f>IF(ISBLANK(A343),"",A343)</f>
        <v/>
      </c>
      <c r="T342" s="393" t="s">
        <v>650</v>
      </c>
      <c r="W342" s="380"/>
      <c r="X342" s="198"/>
      <c r="Y342" s="198"/>
      <c r="Z342" s="198"/>
      <c r="AA342" s="378"/>
      <c r="AB342" s="378"/>
      <c r="AC342" s="378"/>
      <c r="AD342" s="385"/>
    </row>
    <row r="343" spans="1:30" ht="26.25" customHeight="1" x14ac:dyDescent="0.2">
      <c r="A343" s="1278"/>
      <c r="B343" s="1255"/>
      <c r="C343" s="1255"/>
      <c r="D343" s="1255"/>
      <c r="E343" s="1255"/>
      <c r="F343" s="1255"/>
      <c r="G343" s="1255"/>
      <c r="H343" s="1255"/>
      <c r="I343" s="1255"/>
      <c r="J343" s="1255"/>
      <c r="K343" s="1255"/>
      <c r="L343" s="1255"/>
      <c r="M343" s="1255"/>
      <c r="N343" s="1255"/>
      <c r="O343" s="1255"/>
      <c r="P343" s="1255"/>
      <c r="Q343" s="1256"/>
      <c r="R343" s="531" t="s">
        <v>752</v>
      </c>
      <c r="W343" s="380"/>
      <c r="X343" s="378"/>
      <c r="Y343" s="378"/>
      <c r="Z343" s="378"/>
      <c r="AA343" s="380"/>
      <c r="AB343" s="380"/>
      <c r="AC343" s="380"/>
      <c r="AD343" s="198"/>
    </row>
    <row r="344" spans="1:30" ht="26.25" customHeight="1" thickBot="1" x14ac:dyDescent="0.3">
      <c r="A344" s="1257"/>
      <c r="B344" s="1258"/>
      <c r="C344" s="1258"/>
      <c r="D344" s="1258"/>
      <c r="E344" s="1258"/>
      <c r="F344" s="1258"/>
      <c r="G344" s="1258"/>
      <c r="H344" s="1258"/>
      <c r="I344" s="1258"/>
      <c r="J344" s="1258"/>
      <c r="K344" s="1258"/>
      <c r="L344" s="1258"/>
      <c r="M344" s="1258"/>
      <c r="N344" s="1258"/>
      <c r="O344" s="1258"/>
      <c r="P344" s="1258"/>
      <c r="Q344" s="1259"/>
      <c r="R344" s="531" t="s">
        <v>752</v>
      </c>
      <c r="S344" s="352"/>
      <c r="T344" s="352"/>
      <c r="U344" s="352"/>
      <c r="V344" s="352"/>
      <c r="W344" s="380"/>
      <c r="X344" s="380"/>
      <c r="Y344" s="380"/>
      <c r="Z344" s="380"/>
      <c r="AA344" s="380"/>
      <c r="AB344" s="380"/>
      <c r="AC344" s="380"/>
      <c r="AD344" s="385"/>
    </row>
    <row r="345" spans="1:30" ht="26.25" customHeight="1" x14ac:dyDescent="0.25">
      <c r="A345" s="1260" t="s">
        <v>651</v>
      </c>
      <c r="B345" s="1261"/>
      <c r="C345" s="1261"/>
      <c r="D345" s="1261"/>
      <c r="E345" s="1261"/>
      <c r="F345" s="1261"/>
      <c r="G345" s="1261"/>
      <c r="H345" s="1261"/>
      <c r="I345" s="1261"/>
      <c r="J345" s="1261"/>
      <c r="K345" s="1261"/>
      <c r="L345" s="1261"/>
      <c r="M345" s="1261"/>
      <c r="N345" s="1261"/>
      <c r="O345" s="1261"/>
      <c r="P345" s="1261"/>
      <c r="Q345" s="1262"/>
      <c r="R345" s="531" t="s">
        <v>752</v>
      </c>
      <c r="S345" s="395"/>
      <c r="T345" s="396"/>
      <c r="U345" s="390"/>
      <c r="V345" s="390"/>
      <c r="W345" s="380"/>
      <c r="X345" s="380"/>
      <c r="Y345" s="380"/>
      <c r="Z345" s="380"/>
      <c r="AA345" s="380"/>
      <c r="AB345" s="380"/>
      <c r="AC345" s="380"/>
      <c r="AD345" s="385"/>
    </row>
    <row r="346" spans="1:30" ht="26.25" customHeight="1" x14ac:dyDescent="0.2">
      <c r="A346" s="1263"/>
      <c r="B346" s="1264"/>
      <c r="C346" s="1264"/>
      <c r="D346" s="1264"/>
      <c r="E346" s="1264"/>
      <c r="F346" s="1264"/>
      <c r="G346" s="1264"/>
      <c r="H346" s="1264"/>
      <c r="I346" s="1264"/>
      <c r="J346" s="1264"/>
      <c r="K346" s="1264"/>
      <c r="L346" s="1264"/>
      <c r="M346" s="1264"/>
      <c r="N346" s="1264"/>
      <c r="O346" s="1264"/>
      <c r="P346" s="1264"/>
      <c r="Q346" s="1265"/>
      <c r="R346" s="531" t="s">
        <v>752</v>
      </c>
      <c r="S346" s="397" t="str">
        <f>IF(ISBLANK(A346),"",CONCATENATE(S345,A346))</f>
        <v/>
      </c>
      <c r="T346" s="354" t="s">
        <v>195</v>
      </c>
      <c r="U346" s="183"/>
      <c r="V346" s="183"/>
      <c r="W346" s="198"/>
      <c r="X346" s="380"/>
      <c r="Y346" s="380"/>
      <c r="Z346" s="380"/>
      <c r="AA346" s="380"/>
      <c r="AB346" s="380"/>
      <c r="AC346" s="380"/>
      <c r="AD346" s="198"/>
    </row>
    <row r="347" spans="1:30" ht="26.25" customHeight="1" thickBot="1" x14ac:dyDescent="0.25">
      <c r="A347" s="1266"/>
      <c r="B347" s="1267"/>
      <c r="C347" s="1267"/>
      <c r="D347" s="1267"/>
      <c r="E347" s="1267"/>
      <c r="F347" s="1267"/>
      <c r="G347" s="1267"/>
      <c r="H347" s="1267"/>
      <c r="I347" s="1267"/>
      <c r="J347" s="1267"/>
      <c r="K347" s="1267"/>
      <c r="L347" s="1267"/>
      <c r="M347" s="1267"/>
      <c r="N347" s="1267"/>
      <c r="O347" s="1267"/>
      <c r="P347" s="1267"/>
      <c r="Q347" s="1268"/>
      <c r="R347" s="531" t="s">
        <v>752</v>
      </c>
      <c r="S347" s="198"/>
      <c r="T347" s="198"/>
      <c r="U347" s="198"/>
      <c r="V347" s="198"/>
      <c r="W347" s="378"/>
      <c r="X347" s="380"/>
      <c r="Y347" s="380"/>
      <c r="Z347" s="380"/>
      <c r="AA347" s="380"/>
      <c r="AB347" s="380"/>
      <c r="AC347" s="380"/>
      <c r="AD347" s="198"/>
    </row>
    <row r="348" spans="1:30" ht="26.25" customHeight="1" thickBot="1" x14ac:dyDescent="0.25">
      <c r="A348" s="1369" t="e">
        <f>$A$1</f>
        <v>#N/A</v>
      </c>
      <c r="B348" s="1369"/>
      <c r="C348" s="1369"/>
      <c r="D348" s="1369"/>
      <c r="E348" s="1369"/>
      <c r="F348" s="1369"/>
      <c r="G348" s="1369"/>
      <c r="H348" s="1369"/>
      <c r="I348" s="1369"/>
      <c r="J348" s="1369"/>
      <c r="K348" s="1369"/>
      <c r="L348" s="1369"/>
      <c r="M348" s="1369"/>
      <c r="N348" s="1369"/>
      <c r="O348" s="1369"/>
      <c r="P348" s="1369"/>
      <c r="Q348" s="1369"/>
      <c r="R348" s="531" t="s">
        <v>752</v>
      </c>
      <c r="S348" s="388"/>
      <c r="T348" s="388"/>
      <c r="U348" s="388"/>
      <c r="V348" s="388"/>
      <c r="W348" s="380"/>
      <c r="X348" s="380"/>
      <c r="Y348" s="380"/>
      <c r="Z348" s="380"/>
      <c r="AA348" s="380"/>
      <c r="AB348" s="380"/>
      <c r="AC348" s="380"/>
      <c r="AD348" s="198"/>
    </row>
    <row r="349" spans="1:30" ht="26.25" customHeight="1" thickBot="1" x14ac:dyDescent="0.25">
      <c r="A349" s="1364" t="s">
        <v>204</v>
      </c>
      <c r="B349" s="1365"/>
      <c r="C349" s="1365"/>
      <c r="D349" s="1365"/>
      <c r="E349" s="1365"/>
      <c r="F349" s="1365"/>
      <c r="G349" s="1365"/>
      <c r="H349" s="1365"/>
      <c r="I349" s="1365"/>
      <c r="J349" s="1365"/>
      <c r="K349" s="1365"/>
      <c r="L349" s="1365"/>
      <c r="M349" s="1365"/>
      <c r="N349" s="1366" t="str">
        <f>$N$5</f>
        <v>2024 Report Year</v>
      </c>
      <c r="O349" s="1367"/>
      <c r="P349" s="1367"/>
      <c r="Q349" s="1368"/>
      <c r="R349" s="534" t="s">
        <v>752</v>
      </c>
      <c r="S349" s="394"/>
      <c r="T349" s="394"/>
      <c r="U349" s="394"/>
      <c r="V349" s="394"/>
      <c r="W349" s="380"/>
      <c r="X349" s="380"/>
      <c r="Y349" s="380"/>
      <c r="Z349" s="380"/>
      <c r="AA349" s="380"/>
      <c r="AB349" s="380"/>
      <c r="AC349" s="380"/>
      <c r="AD349" s="198"/>
    </row>
    <row r="350" spans="1:30" ht="26.25" customHeight="1" x14ac:dyDescent="0.2">
      <c r="A350" s="1351" t="str">
        <f>IF(AND(OR(ISNA(cap_exp_contact),TRIM(cap_exp_contact)=""),NOT(ISBLANK(code_7594))),"The Capital Expenditure Contact information has NOT been provided.  Please complete this information now.","")</f>
        <v/>
      </c>
      <c r="B350" s="1352"/>
      <c r="C350" s="1352"/>
      <c r="D350" s="1352"/>
      <c r="E350" s="1352"/>
      <c r="F350" s="1352"/>
      <c r="G350" s="1352"/>
      <c r="H350" s="1352"/>
      <c r="I350" s="1352"/>
      <c r="J350" s="1352"/>
      <c r="K350" s="1352"/>
      <c r="L350" s="1352"/>
      <c r="M350" s="1352"/>
      <c r="N350" s="343" t="s">
        <v>602</v>
      </c>
      <c r="O350" s="344" t="e">
        <f>$O$6</f>
        <v>#N/A</v>
      </c>
      <c r="P350" s="345" t="s">
        <v>603</v>
      </c>
      <c r="Q350" s="346" t="e">
        <f>IF(ISBLANK(Q307),"",Q307+1)</f>
        <v>#VALUE!</v>
      </c>
      <c r="R350" s="534" t="s">
        <v>752</v>
      </c>
      <c r="S350" s="198"/>
      <c r="T350" s="198"/>
      <c r="U350" s="198"/>
      <c r="V350" s="198"/>
      <c r="W350" s="380"/>
      <c r="X350" s="380"/>
      <c r="Y350" s="380"/>
      <c r="Z350" s="380"/>
      <c r="AA350" s="380"/>
      <c r="AB350" s="380"/>
      <c r="AC350" s="380"/>
      <c r="AD350" s="198"/>
    </row>
    <row r="351" spans="1:30" ht="26.25" customHeight="1" thickBot="1" x14ac:dyDescent="0.25">
      <c r="A351" s="1353" t="s">
        <v>197</v>
      </c>
      <c r="B351" s="1354"/>
      <c r="C351" s="1354"/>
      <c r="D351" s="1354"/>
      <c r="E351" s="1355"/>
      <c r="F351" s="1356"/>
      <c r="G351" s="1356"/>
      <c r="H351" s="1356"/>
      <c r="I351" s="1356"/>
      <c r="J351" s="1356"/>
      <c r="K351" s="1356"/>
      <c r="L351" s="1357"/>
      <c r="M351" s="550" t="s">
        <v>752</v>
      </c>
      <c r="N351" s="1358" t="s">
        <v>604</v>
      </c>
      <c r="O351" s="1359"/>
      <c r="P351" s="1359"/>
      <c r="Q351" s="1360"/>
      <c r="R351" s="531" t="s">
        <v>752</v>
      </c>
      <c r="S351" s="348" t="str">
        <f>IF(ISBLANK(E351),"",E351)</f>
        <v/>
      </c>
      <c r="T351" s="143" t="s">
        <v>495</v>
      </c>
      <c r="U351" s="280"/>
      <c r="V351" s="280"/>
      <c r="W351" s="380"/>
      <c r="X351" s="380"/>
      <c r="Y351" s="380"/>
      <c r="Z351" s="380"/>
      <c r="AA351" s="380"/>
      <c r="AB351" s="380"/>
      <c r="AC351" s="380"/>
      <c r="AD351" s="198"/>
    </row>
    <row r="352" spans="1:30" ht="26.25" customHeight="1" x14ac:dyDescent="0.2">
      <c r="A352" s="1361" t="s">
        <v>605</v>
      </c>
      <c r="B352" s="1362"/>
      <c r="C352" s="1362"/>
      <c r="D352" s="1363"/>
      <c r="E352" s="1339"/>
      <c r="F352" s="1340"/>
      <c r="G352" s="1340"/>
      <c r="H352" s="1340"/>
      <c r="I352" s="1340"/>
      <c r="J352" s="1340"/>
      <c r="K352" s="1340"/>
      <c r="L352" s="1341"/>
      <c r="M352" s="1342" t="str">
        <f>IF(AND(ISBLANK(E352),OR(NOT(ISBLANK(E353)),NOT(ISBLANK(E354)),NOT(ISBLANK(E355)),NOT(ISBLANK(I356)),NOT(ISBLANK(A358)))),"This information is required.","")</f>
        <v/>
      </c>
      <c r="N352" s="1343"/>
      <c r="O352" s="1343"/>
      <c r="P352" s="1343"/>
      <c r="Q352" s="551" t="s">
        <v>752</v>
      </c>
      <c r="R352" s="531" t="s">
        <v>752</v>
      </c>
      <c r="S352" s="348" t="str">
        <f>IF(ISBLANK(E352),"",E352)</f>
        <v/>
      </c>
      <c r="T352" s="143" t="s">
        <v>185</v>
      </c>
      <c r="U352" s="280"/>
      <c r="V352" s="280"/>
      <c r="W352" s="380"/>
      <c r="X352" s="380"/>
      <c r="Y352" s="380"/>
      <c r="Z352" s="380"/>
      <c r="AA352" s="198"/>
      <c r="AB352" s="198"/>
      <c r="AC352" s="198"/>
      <c r="AD352" s="198"/>
    </row>
    <row r="353" spans="1:30" ht="26.25" customHeight="1" x14ac:dyDescent="0.2">
      <c r="A353" s="1325" t="s">
        <v>606</v>
      </c>
      <c r="B353" s="1326"/>
      <c r="C353" s="1326"/>
      <c r="D353" s="1327"/>
      <c r="E353" s="1339"/>
      <c r="F353" s="1340"/>
      <c r="G353" s="1340"/>
      <c r="H353" s="1340"/>
      <c r="I353" s="1340"/>
      <c r="J353" s="1340"/>
      <c r="K353" s="1340"/>
      <c r="L353" s="1341"/>
      <c r="M353" s="1342" t="str">
        <f>IF(AND(ISBLANK(E353),OR(NOT(ISBLANK(E352)),NOT(ISBLANK(E354)),NOT(ISBLANK(E355)),NOT(ISBLANK(I356)),NOT(ISBLANK(A358)))),"This information is required.","")</f>
        <v/>
      </c>
      <c r="N353" s="1343"/>
      <c r="O353" s="1343"/>
      <c r="P353" s="1343"/>
      <c r="Q353" s="551" t="s">
        <v>752</v>
      </c>
      <c r="R353" s="531" t="s">
        <v>752</v>
      </c>
      <c r="S353" s="348" t="str">
        <f>IF(ISBLANK(E353),"",E353)</f>
        <v/>
      </c>
      <c r="T353" s="143" t="s">
        <v>186</v>
      </c>
      <c r="U353" s="280"/>
      <c r="V353" s="280"/>
      <c r="W353" s="380"/>
      <c r="X353" s="388"/>
      <c r="Y353" s="388"/>
      <c r="Z353" s="388"/>
      <c r="AA353" s="382"/>
      <c r="AB353" s="382"/>
      <c r="AC353" s="382"/>
      <c r="AD353" s="198"/>
    </row>
    <row r="354" spans="1:30" ht="26.25" customHeight="1" x14ac:dyDescent="0.2">
      <c r="A354" s="1344" t="s">
        <v>607</v>
      </c>
      <c r="B354" s="1345"/>
      <c r="C354" s="1345"/>
      <c r="D354" s="1346"/>
      <c r="E354" s="1347"/>
      <c r="F354" s="1348"/>
      <c r="G354" s="1349" t="s">
        <v>608</v>
      </c>
      <c r="H354" s="1349"/>
      <c r="I354" s="1349"/>
      <c r="J354" s="1349"/>
      <c r="K354" s="1349"/>
      <c r="L354" s="1349"/>
      <c r="M354" s="1350" t="str">
        <f>IF(AND(ISBLANK(E354),OR(NOT(ISBLANK(E352)),NOT(ISBLANK(E353)),NOT(ISBLANK(E355)),NOT(ISBLANK(I356)),NOT(ISBLANK(A358)))),"This information is required.","")</f>
        <v/>
      </c>
      <c r="N354" s="1202"/>
      <c r="O354" s="1202"/>
      <c r="P354" s="1202"/>
      <c r="Q354" s="532" t="s">
        <v>752</v>
      </c>
      <c r="R354" s="531" t="s">
        <v>752</v>
      </c>
      <c r="S354" s="350" t="str">
        <f>IF(ISBLANK(E354),"",E354)</f>
        <v/>
      </c>
      <c r="T354" s="351" t="s">
        <v>188</v>
      </c>
      <c r="U354" s="349"/>
      <c r="V354" s="349"/>
      <c r="W354" s="380"/>
      <c r="X354" s="394"/>
      <c r="Y354" s="394"/>
      <c r="Z354" s="394"/>
      <c r="AA354" s="380"/>
      <c r="AB354" s="380"/>
      <c r="AC354" s="380"/>
      <c r="AD354" s="198"/>
    </row>
    <row r="355" spans="1:30" ht="26.25" customHeight="1" x14ac:dyDescent="0.2">
      <c r="A355" s="1325" t="s">
        <v>609</v>
      </c>
      <c r="B355" s="1326"/>
      <c r="C355" s="1326"/>
      <c r="D355" s="1327"/>
      <c r="E355" s="1328"/>
      <c r="F355" s="1329"/>
      <c r="G355" s="1337" t="s">
        <v>752</v>
      </c>
      <c r="H355" s="1338"/>
      <c r="I355" s="1338"/>
      <c r="J355" s="1338"/>
      <c r="K355" s="1338"/>
      <c r="L355" s="1338"/>
      <c r="M355" s="1202" t="str">
        <f>IF(AND(ISBLANK(E355),OR(NOT(ISBLANK(E352)),NOT(ISBLANK(E353)),NOT(ISBLANK(E354)),NOT(ISBLANK(I356)),NOT(ISBLANK(A358)))),"This information is required.","")</f>
        <v/>
      </c>
      <c r="N355" s="1202"/>
      <c r="O355" s="1202"/>
      <c r="P355" s="1202"/>
      <c r="Q355" s="532" t="s">
        <v>752</v>
      </c>
      <c r="R355" s="531" t="s">
        <v>752</v>
      </c>
      <c r="S355" s="353" t="str">
        <f>IF(ISBLANK(E355),"",E355)</f>
        <v/>
      </c>
      <c r="T355" s="354" t="s">
        <v>189</v>
      </c>
      <c r="U355" s="318"/>
      <c r="V355" s="318"/>
      <c r="W355" s="380"/>
      <c r="X355" s="198"/>
      <c r="Y355" s="198"/>
      <c r="Z355" s="198"/>
      <c r="AA355" s="380"/>
      <c r="AB355" s="380"/>
      <c r="AC355" s="380"/>
      <c r="AD355" s="198"/>
    </row>
    <row r="356" spans="1:30" ht="26.25" customHeight="1" thickBot="1" x14ac:dyDescent="0.25">
      <c r="A356" s="1330" t="s">
        <v>610</v>
      </c>
      <c r="B356" s="1331"/>
      <c r="C356" s="1331"/>
      <c r="D356" s="1331"/>
      <c r="E356" s="1332"/>
      <c r="F356" s="1332"/>
      <c r="G356" s="1332"/>
      <c r="H356" s="1332"/>
      <c r="I356" s="1333"/>
      <c r="J356" s="1333"/>
      <c r="K356" s="1334" t="s">
        <v>611</v>
      </c>
      <c r="L356" s="1335"/>
      <c r="M356" s="1336" t="str">
        <f>IF(AND(ISBLANK(I356),OR(NOT(ISBLANK(E352)),NOT(ISBLANK(E353)),NOT(ISBLANK(E354)),NOT(ISBLANK(E355)),NOT(ISBLANK(A358)))),"This information is required!","")</f>
        <v/>
      </c>
      <c r="N356" s="1336"/>
      <c r="O356" s="1336"/>
      <c r="P356" s="1336"/>
      <c r="Q356" s="553" t="s">
        <v>752</v>
      </c>
      <c r="R356" s="531" t="s">
        <v>752</v>
      </c>
      <c r="S356" s="353" t="str">
        <f>IF(ISBLANK(I356),"",I356)</f>
        <v/>
      </c>
      <c r="T356" s="354" t="s">
        <v>190</v>
      </c>
      <c r="U356" s="355"/>
      <c r="V356" s="355"/>
      <c r="W356" s="380"/>
      <c r="X356" s="198"/>
      <c r="Y356" s="198"/>
      <c r="Z356" s="198"/>
      <c r="AA356" s="380"/>
      <c r="AB356" s="380"/>
      <c r="AC356" s="380"/>
      <c r="AD356" s="198"/>
    </row>
    <row r="357" spans="1:30" ht="26.25" customHeight="1" x14ac:dyDescent="0.2">
      <c r="A357" s="1251" t="s">
        <v>613</v>
      </c>
      <c r="B357" s="1252"/>
      <c r="C357" s="1252"/>
      <c r="D357" s="1252"/>
      <c r="E357" s="1252"/>
      <c r="F357" s="1252"/>
      <c r="G357" s="1252"/>
      <c r="H357" s="1252"/>
      <c r="I357" s="1252"/>
      <c r="J357" s="1317"/>
      <c r="K357" s="1318" t="s">
        <v>679</v>
      </c>
      <c r="L357" s="1318"/>
      <c r="M357" s="1318"/>
      <c r="N357" s="1318"/>
      <c r="O357" s="1320" t="s">
        <v>614</v>
      </c>
      <c r="P357" s="1320"/>
      <c r="Q357" s="1321"/>
      <c r="R357" s="531" t="s">
        <v>752</v>
      </c>
      <c r="S357" s="353" t="str">
        <f>IF(ISBLANK(A358),"",A358)</f>
        <v/>
      </c>
      <c r="T357" s="354" t="s">
        <v>191</v>
      </c>
      <c r="U357" s="357"/>
      <c r="V357" s="357"/>
      <c r="W357" s="388"/>
      <c r="X357" s="198"/>
      <c r="Y357" s="198"/>
      <c r="Z357" s="198"/>
      <c r="AA357" s="380"/>
      <c r="AB357" s="380"/>
      <c r="AC357" s="380"/>
      <c r="AD357" s="198"/>
    </row>
    <row r="358" spans="1:30" ht="26.25" customHeight="1" x14ac:dyDescent="0.2">
      <c r="A358" s="1263"/>
      <c r="B358" s="1264"/>
      <c r="C358" s="1264"/>
      <c r="D358" s="1264"/>
      <c r="E358" s="1264"/>
      <c r="F358" s="1264"/>
      <c r="G358" s="1264"/>
      <c r="H358" s="1264"/>
      <c r="I358" s="1264"/>
      <c r="J358" s="1305"/>
      <c r="K358" s="1319"/>
      <c r="L358" s="1319"/>
      <c r="M358" s="1319"/>
      <c r="N358" s="1319"/>
      <c r="O358" s="555" t="s">
        <v>752</v>
      </c>
      <c r="P358" s="214" t="s">
        <v>265</v>
      </c>
      <c r="Q358" s="358" t="s">
        <v>266</v>
      </c>
      <c r="R358" s="531" t="s">
        <v>752</v>
      </c>
      <c r="S358" s="353" t="str">
        <f>IF(ISBLANK(A361),"",A361)</f>
        <v/>
      </c>
      <c r="T358" s="359" t="s">
        <v>192</v>
      </c>
      <c r="U358" s="357"/>
      <c r="V358" s="357"/>
      <c r="W358" s="394"/>
      <c r="X358" s="198"/>
      <c r="Y358" s="198"/>
      <c r="Z358" s="198"/>
      <c r="AA358" s="380"/>
      <c r="AB358" s="380"/>
      <c r="AC358" s="380"/>
      <c r="AD358" s="198"/>
    </row>
    <row r="359" spans="1:30" ht="26.25" customHeight="1" x14ac:dyDescent="0.2">
      <c r="A359" s="1279"/>
      <c r="B359" s="1280"/>
      <c r="C359" s="1280"/>
      <c r="D359" s="1280"/>
      <c r="E359" s="1280"/>
      <c r="F359" s="1280"/>
      <c r="G359" s="1280"/>
      <c r="H359" s="1280"/>
      <c r="I359" s="1280"/>
      <c r="J359" s="1306"/>
      <c r="K359" s="1307" t="s">
        <v>615</v>
      </c>
      <c r="L359" s="1308"/>
      <c r="M359" s="1308"/>
      <c r="N359" s="1308"/>
      <c r="O359" s="1309"/>
      <c r="P359" s="365"/>
      <c r="Q359" s="400"/>
      <c r="R359" s="355" t="str">
        <f>IF(COUNTBLANK(P359:Q359)=2,"Please enter response.",IF(COUNTBLANK(P359:Q359)&lt;&gt;1,"Please VERIFY response.",""))</f>
        <v>Please enter response.</v>
      </c>
      <c r="S359" s="366" t="str">
        <f>IF(AND(ISBLANK(P359),ISBLANK(Q359)),"",IF(ISBLANK(P359),0,1))</f>
        <v/>
      </c>
      <c r="T359" s="233" t="s">
        <v>586</v>
      </c>
      <c r="U359" s="200"/>
      <c r="V359" s="200"/>
      <c r="W359" s="198"/>
      <c r="X359" s="198"/>
      <c r="Y359" s="198"/>
      <c r="Z359" s="198"/>
      <c r="AA359" s="380"/>
      <c r="AB359" s="380"/>
      <c r="AC359" s="380"/>
      <c r="AD359" s="198"/>
    </row>
    <row r="360" spans="1:30" ht="26.25" customHeight="1" x14ac:dyDescent="0.2">
      <c r="A360" s="1322" t="s">
        <v>616</v>
      </c>
      <c r="B360" s="1323"/>
      <c r="C360" s="1323"/>
      <c r="D360" s="1323"/>
      <c r="E360" s="1323"/>
      <c r="F360" s="1323"/>
      <c r="G360" s="1323"/>
      <c r="H360" s="1323"/>
      <c r="I360" s="1323"/>
      <c r="J360" s="1324"/>
      <c r="K360" s="1307" t="s">
        <v>617</v>
      </c>
      <c r="L360" s="1308"/>
      <c r="M360" s="1308"/>
      <c r="N360" s="1308"/>
      <c r="O360" s="1309"/>
      <c r="P360" s="365"/>
      <c r="Q360" s="400"/>
      <c r="R360" s="355" t="str">
        <f>IF(COUNTBLANK(P360:Q360)=2,"Please enter response.",IF(COUNTBLANK(P360:Q360)&lt;&gt;1,"Please VERIFY response.",""))</f>
        <v>Please enter response.</v>
      </c>
      <c r="S360" s="366" t="str">
        <f>IF(AND(ISBLANK(P360),ISBLANK(Q360)),"",IF(ISBLANK(P360),0,1))</f>
        <v/>
      </c>
      <c r="T360" s="233" t="s">
        <v>587</v>
      </c>
      <c r="U360" s="200"/>
      <c r="V360" s="200"/>
      <c r="W360" s="198"/>
      <c r="X360" s="349"/>
      <c r="Y360" s="349"/>
      <c r="Z360" s="349"/>
      <c r="AA360" s="380"/>
      <c r="AB360" s="380"/>
      <c r="AC360" s="380"/>
      <c r="AD360" s="198"/>
    </row>
    <row r="361" spans="1:30" ht="26.25" customHeight="1" x14ac:dyDescent="0.2">
      <c r="A361" s="1263"/>
      <c r="B361" s="1264"/>
      <c r="C361" s="1264"/>
      <c r="D361" s="1264"/>
      <c r="E361" s="1264"/>
      <c r="F361" s="1264"/>
      <c r="G361" s="1264"/>
      <c r="H361" s="1264"/>
      <c r="I361" s="1264"/>
      <c r="J361" s="1305"/>
      <c r="K361" s="1307" t="s">
        <v>618</v>
      </c>
      <c r="L361" s="1308"/>
      <c r="M361" s="1308"/>
      <c r="N361" s="1308"/>
      <c r="O361" s="1309"/>
      <c r="P361" s="365"/>
      <c r="Q361" s="400"/>
      <c r="R361" s="355" t="str">
        <f>IF(COUNTBLANK(P361:Q361)=2,"Please enter response.",IF(COUNTBLANK(P361:Q361)&lt;&gt;1,"Please VERIFY response.",""))</f>
        <v>Please enter response.</v>
      </c>
      <c r="S361" s="366" t="str">
        <f>IF(AND(ISBLANK(P361),ISBLANK(Q361)),"",IF(ISBLANK(P361),0,1))</f>
        <v/>
      </c>
      <c r="T361" s="233" t="s">
        <v>588</v>
      </c>
      <c r="U361" s="200"/>
      <c r="V361" s="200"/>
      <c r="W361" s="198"/>
      <c r="X361" s="198"/>
      <c r="Y361" s="198"/>
      <c r="Z361" s="198"/>
      <c r="AA361" s="380"/>
      <c r="AB361" s="380"/>
      <c r="AC361" s="380"/>
      <c r="AD361" s="198"/>
    </row>
    <row r="362" spans="1:30" ht="26.25" customHeight="1" x14ac:dyDescent="0.2">
      <c r="A362" s="1279"/>
      <c r="B362" s="1280"/>
      <c r="C362" s="1280"/>
      <c r="D362" s="1280"/>
      <c r="E362" s="1280"/>
      <c r="F362" s="1280"/>
      <c r="G362" s="1280"/>
      <c r="H362" s="1280"/>
      <c r="I362" s="1280"/>
      <c r="J362" s="1306"/>
      <c r="K362" s="1307" t="s">
        <v>619</v>
      </c>
      <c r="L362" s="1308"/>
      <c r="M362" s="1308"/>
      <c r="N362" s="1308"/>
      <c r="O362" s="1309"/>
      <c r="P362" s="365"/>
      <c r="Q362" s="400"/>
      <c r="R362" s="355" t="str">
        <f>IF(COUNTBLANK(P362:Q362)=2,"Please enter response.",IF(COUNTBLANK(P362:Q362)&lt;&gt;1,"Please VERIFY response.",""))</f>
        <v>Please enter response.</v>
      </c>
      <c r="S362" s="366" t="str">
        <f>IF(AND(ISBLANK(P362),ISBLANK(Q362)),"",IF(ISBLANK(P362),0,1))</f>
        <v/>
      </c>
      <c r="T362" s="233" t="s">
        <v>589</v>
      </c>
      <c r="U362" s="200"/>
      <c r="V362" s="200"/>
      <c r="W362" s="198"/>
      <c r="X362" s="198"/>
      <c r="Y362" s="198"/>
      <c r="Z362" s="198"/>
      <c r="AA362" s="380"/>
      <c r="AB362" s="380"/>
      <c r="AC362" s="380"/>
      <c r="AD362" s="198"/>
    </row>
    <row r="363" spans="1:30" ht="26.25" customHeight="1" x14ac:dyDescent="0.2">
      <c r="A363" s="1310" t="s">
        <v>620</v>
      </c>
      <c r="B363" s="1311"/>
      <c r="C363" s="1311"/>
      <c r="D363" s="1311"/>
      <c r="E363" s="1311"/>
      <c r="F363" s="1311"/>
      <c r="G363" s="1311"/>
      <c r="H363" s="1311"/>
      <c r="I363" s="1311"/>
      <c r="J363" s="1311"/>
      <c r="K363" s="1311"/>
      <c r="L363" s="1311"/>
      <c r="M363" s="1311"/>
      <c r="N363" s="1311"/>
      <c r="O363" s="1311"/>
      <c r="P363" s="1311"/>
      <c r="Q363" s="1312"/>
      <c r="R363" s="534" t="s">
        <v>752</v>
      </c>
      <c r="S363" s="377"/>
      <c r="T363" s="368"/>
      <c r="U363" s="368"/>
      <c r="V363" s="368"/>
      <c r="W363" s="198"/>
      <c r="X363" s="198"/>
      <c r="Y363" s="198"/>
      <c r="Z363" s="198"/>
      <c r="AA363" s="198"/>
      <c r="AB363" s="198"/>
      <c r="AC363" s="198"/>
      <c r="AD363" s="198"/>
    </row>
    <row r="364" spans="1:30" ht="26.25" customHeight="1" x14ac:dyDescent="0.2">
      <c r="A364" s="1313" t="s">
        <v>621</v>
      </c>
      <c r="B364" s="1314"/>
      <c r="C364" s="1314"/>
      <c r="D364" s="1314"/>
      <c r="E364" s="1314" t="s">
        <v>622</v>
      </c>
      <c r="F364" s="1314"/>
      <c r="G364" s="1314"/>
      <c r="H364" s="1314"/>
      <c r="I364" s="1314" t="s">
        <v>623</v>
      </c>
      <c r="J364" s="1314"/>
      <c r="K364" s="1314"/>
      <c r="L364" s="1314"/>
      <c r="M364" s="1315" t="s">
        <v>624</v>
      </c>
      <c r="N364" s="1314"/>
      <c r="O364" s="1314"/>
      <c r="P364" s="1314"/>
      <c r="Q364" s="1316"/>
      <c r="R364" s="534" t="s">
        <v>752</v>
      </c>
      <c r="S364" s="1298" t="s">
        <v>625</v>
      </c>
      <c r="T364" s="1298"/>
      <c r="U364" s="1298"/>
      <c r="V364" s="1298"/>
      <c r="W364" s="349"/>
      <c r="X364" s="349"/>
      <c r="Y364" s="349"/>
      <c r="Z364" s="349"/>
      <c r="AA364" s="378"/>
      <c r="AB364" s="378"/>
      <c r="AC364" s="378"/>
      <c r="AD364" s="198"/>
    </row>
    <row r="365" spans="1:30" ht="26.25" customHeight="1" thickBot="1" x14ac:dyDescent="0.25">
      <c r="A365" s="1299"/>
      <c r="B365" s="848"/>
      <c r="C365" s="848"/>
      <c r="D365" s="848"/>
      <c r="E365" s="848"/>
      <c r="F365" s="848"/>
      <c r="G365" s="848"/>
      <c r="H365" s="848"/>
      <c r="I365" s="848"/>
      <c r="J365" s="848"/>
      <c r="K365" s="848"/>
      <c r="L365" s="848"/>
      <c r="M365" s="1300"/>
      <c r="N365" s="1300"/>
      <c r="O365" s="1300"/>
      <c r="P365" s="1300"/>
      <c r="Q365" s="1301"/>
      <c r="R365" s="531" t="s">
        <v>752</v>
      </c>
      <c r="S365" s="381" t="str">
        <f>IF(ISBLANK(A365),"",VLOOKUP(A365,VProjType,2,FALSE))</f>
        <v/>
      </c>
      <c r="T365" s="381" t="str">
        <f>IF(ISBLANK(E365),"",VLOOKUP(E365,VSubtype1,2,FALSE))</f>
        <v/>
      </c>
      <c r="U365" s="381" t="str">
        <f>IF(ISBLANK(I365),"",VLOOKUP(I365,VSubtype2,2,FALSE))</f>
        <v/>
      </c>
      <c r="V365" s="381" t="str">
        <f>IF(ISBLANK(M365),"",VLOOKUP(M365,VSubtype3,2,FALSE))</f>
        <v/>
      </c>
      <c r="W365" s="198"/>
      <c r="X365" s="380"/>
      <c r="Y365" s="380"/>
      <c r="Z365" s="380"/>
      <c r="AA365" s="380"/>
      <c r="AB365" s="380"/>
      <c r="AC365" s="380"/>
      <c r="AD365" s="198"/>
    </row>
    <row r="366" spans="1:30" ht="26.25" customHeight="1" x14ac:dyDescent="0.2">
      <c r="A366" s="1302" t="s">
        <v>627</v>
      </c>
      <c r="B366" s="1303"/>
      <c r="C366" s="1303"/>
      <c r="D366" s="1303"/>
      <c r="E366" s="1303"/>
      <c r="F366" s="1303"/>
      <c r="G366" s="1303"/>
      <c r="H366" s="1303"/>
      <c r="I366" s="1303"/>
      <c r="J366" s="1303"/>
      <c r="K366" s="1303"/>
      <c r="L366" s="1303"/>
      <c r="M366" s="1303"/>
      <c r="N366" s="1303"/>
      <c r="O366" s="1303"/>
      <c r="P366" s="1303"/>
      <c r="Q366" s="1304"/>
      <c r="R366" s="531" t="s">
        <v>752</v>
      </c>
      <c r="S366" s="382" t="s">
        <v>628</v>
      </c>
      <c r="T366" s="378"/>
      <c r="U366" s="378"/>
      <c r="V366" s="378"/>
      <c r="W366" s="198"/>
      <c r="X366" s="380"/>
      <c r="Y366" s="380"/>
      <c r="Z366" s="380"/>
      <c r="AA366" s="380"/>
      <c r="AB366" s="380"/>
      <c r="AC366" s="380"/>
      <c r="AD366" s="198"/>
    </row>
    <row r="367" spans="1:30" ht="26.25" customHeight="1" x14ac:dyDescent="0.2">
      <c r="A367" s="1269" t="s">
        <v>629</v>
      </c>
      <c r="B367" s="1270"/>
      <c r="C367" s="1270"/>
      <c r="D367" s="1270"/>
      <c r="E367" s="1270"/>
      <c r="F367" s="1270"/>
      <c r="G367" s="1270"/>
      <c r="H367" s="1270"/>
      <c r="I367" s="1270"/>
      <c r="J367" s="1270"/>
      <c r="K367" s="1270"/>
      <c r="L367" s="1271"/>
      <c r="M367" s="1272"/>
      <c r="N367" s="1273"/>
      <c r="O367" s="1273"/>
      <c r="P367" s="1273"/>
      <c r="Q367" s="1274"/>
      <c r="R367" s="531" t="s">
        <v>752</v>
      </c>
      <c r="S367" s="383" t="str">
        <f>IF(ISBLANK(M367),"",VLOOKUP(M367,VRemote,2,FALSE))</f>
        <v/>
      </c>
      <c r="T367" s="384" t="s">
        <v>630</v>
      </c>
      <c r="U367" s="378"/>
      <c r="V367" s="378"/>
      <c r="W367" s="198"/>
      <c r="X367" s="380"/>
      <c r="Y367" s="380"/>
      <c r="Z367" s="380"/>
      <c r="AA367" s="380"/>
      <c r="AB367" s="380"/>
      <c r="AC367" s="380"/>
      <c r="AD367" s="198"/>
    </row>
    <row r="368" spans="1:30" ht="26.25" customHeight="1" x14ac:dyDescent="0.2">
      <c r="A368" s="1269" t="s">
        <v>631</v>
      </c>
      <c r="B368" s="1270"/>
      <c r="C368" s="1270"/>
      <c r="D368" s="1270"/>
      <c r="E368" s="1270"/>
      <c r="F368" s="1270"/>
      <c r="G368" s="1270"/>
      <c r="H368" s="1270"/>
      <c r="I368" s="1270"/>
      <c r="J368" s="1270"/>
      <c r="K368" s="1270"/>
      <c r="L368" s="1270"/>
      <c r="M368" s="1272"/>
      <c r="N368" s="1273"/>
      <c r="O368" s="1273"/>
      <c r="P368" s="1273"/>
      <c r="Q368" s="1274"/>
      <c r="R368" s="531" t="s">
        <v>752</v>
      </c>
      <c r="S368" s="383" t="str">
        <f>IF(ISBLANK(M368),"",VLOOKUP(M368,VCapacity,2,FALSE))</f>
        <v/>
      </c>
      <c r="T368" s="151" t="s">
        <v>632</v>
      </c>
      <c r="U368" s="380"/>
      <c r="V368" s="380"/>
      <c r="W368" s="349"/>
      <c r="X368" s="380"/>
      <c r="Y368" s="380"/>
      <c r="Z368" s="380"/>
      <c r="AA368" s="380"/>
      <c r="AB368" s="380"/>
      <c r="AC368" s="380"/>
      <c r="AD368" s="198"/>
    </row>
    <row r="369" spans="1:38" ht="26.25" customHeight="1" x14ac:dyDescent="0.2">
      <c r="A369" s="1269" t="s">
        <v>633</v>
      </c>
      <c r="B369" s="1270"/>
      <c r="C369" s="1270"/>
      <c r="D369" s="1270"/>
      <c r="E369" s="1270"/>
      <c r="F369" s="1270"/>
      <c r="G369" s="1270"/>
      <c r="H369" s="1270"/>
      <c r="I369" s="1270"/>
      <c r="J369" s="1270"/>
      <c r="K369" s="1270"/>
      <c r="L369" s="1270"/>
      <c r="M369" s="1272"/>
      <c r="N369" s="1273"/>
      <c r="O369" s="1273"/>
      <c r="P369" s="1273"/>
      <c r="Q369" s="1274"/>
      <c r="R369" s="531" t="s">
        <v>752</v>
      </c>
      <c r="S369" s="383" t="str">
        <f>IF(ISBLANK(M369),"",VLOOKUP(M369,VPriorCap,2,FALSE))</f>
        <v/>
      </c>
      <c r="T369" s="151" t="s">
        <v>634</v>
      </c>
      <c r="U369" s="380"/>
      <c r="V369" s="380"/>
      <c r="W369" s="380"/>
      <c r="X369" s="380"/>
      <c r="Y369" s="380"/>
      <c r="Z369" s="380"/>
      <c r="AA369" s="380"/>
      <c r="AB369" s="380"/>
      <c r="AC369" s="380"/>
      <c r="AD369" s="198"/>
    </row>
    <row r="370" spans="1:38" ht="26.25" customHeight="1" x14ac:dyDescent="0.2">
      <c r="A370" s="1286" t="s">
        <v>636</v>
      </c>
      <c r="B370" s="1287"/>
      <c r="C370" s="1287"/>
      <c r="D370" s="1287"/>
      <c r="E370" s="1287"/>
      <c r="F370" s="1287"/>
      <c r="G370" s="1287"/>
      <c r="H370" s="1287"/>
      <c r="I370" s="1287"/>
      <c r="J370" s="1287"/>
      <c r="K370" s="1287"/>
      <c r="L370" s="1287"/>
      <c r="M370" s="1287"/>
      <c r="N370" s="1287"/>
      <c r="O370" s="1287"/>
      <c r="P370" s="1287"/>
      <c r="Q370" s="1288"/>
      <c r="R370" s="531" t="s">
        <v>752</v>
      </c>
      <c r="S370" s="386" t="str">
        <f>IF(ISBLANK(A371),"",A371)</f>
        <v/>
      </c>
      <c r="T370" s="151" t="s">
        <v>583</v>
      </c>
      <c r="U370" s="380"/>
      <c r="V370" s="380"/>
      <c r="W370" s="380"/>
      <c r="X370" s="380"/>
      <c r="Y370" s="380"/>
      <c r="Z370" s="380"/>
      <c r="AA370" s="380"/>
      <c r="AB370" s="380"/>
      <c r="AC370" s="380"/>
      <c r="AD370" s="198"/>
    </row>
    <row r="371" spans="1:38" ht="26.25" customHeight="1" x14ac:dyDescent="0.2">
      <c r="A371" s="1278"/>
      <c r="B371" s="1255"/>
      <c r="C371" s="1255"/>
      <c r="D371" s="1255"/>
      <c r="E371" s="1255"/>
      <c r="F371" s="1255"/>
      <c r="G371" s="1255"/>
      <c r="H371" s="1255"/>
      <c r="I371" s="1255"/>
      <c r="J371" s="1255"/>
      <c r="K371" s="1255"/>
      <c r="L371" s="1255"/>
      <c r="M371" s="1255"/>
      <c r="N371" s="1255"/>
      <c r="O371" s="1255"/>
      <c r="P371" s="1255"/>
      <c r="Q371" s="1285"/>
      <c r="R371" s="531" t="s">
        <v>752</v>
      </c>
      <c r="S371" s="380"/>
      <c r="T371" s="380"/>
      <c r="U371" s="380"/>
      <c r="V371" s="380"/>
      <c r="W371" s="380"/>
      <c r="X371" s="380"/>
      <c r="Y371" s="380"/>
      <c r="Z371" s="380"/>
      <c r="AA371" s="380"/>
      <c r="AB371" s="380"/>
      <c r="AC371" s="380"/>
      <c r="AD371" s="198"/>
    </row>
    <row r="372" spans="1:38" ht="26.25" customHeight="1" x14ac:dyDescent="0.2">
      <c r="A372" s="1289"/>
      <c r="B372" s="1290"/>
      <c r="C372" s="1290"/>
      <c r="D372" s="1290"/>
      <c r="E372" s="1290"/>
      <c r="F372" s="1290"/>
      <c r="G372" s="1290"/>
      <c r="H372" s="1290"/>
      <c r="I372" s="1290"/>
      <c r="J372" s="1290"/>
      <c r="K372" s="1290"/>
      <c r="L372" s="1290"/>
      <c r="M372" s="1290"/>
      <c r="N372" s="1290"/>
      <c r="O372" s="1290"/>
      <c r="P372" s="1290"/>
      <c r="Q372" s="1291"/>
      <c r="R372" s="531" t="s">
        <v>752</v>
      </c>
      <c r="S372" s="380"/>
      <c r="T372" s="380"/>
      <c r="U372" s="380"/>
      <c r="V372" s="380"/>
      <c r="W372" s="380"/>
      <c r="X372" s="380"/>
      <c r="Y372" s="380"/>
      <c r="Z372" s="380"/>
      <c r="AA372" s="380"/>
      <c r="AB372" s="380"/>
      <c r="AC372" s="380"/>
      <c r="AD372" s="198"/>
    </row>
    <row r="373" spans="1:38" ht="26.25" customHeight="1" x14ac:dyDescent="0.2">
      <c r="A373" s="1292" t="s">
        <v>638</v>
      </c>
      <c r="B373" s="1293"/>
      <c r="C373" s="1293"/>
      <c r="D373" s="1293"/>
      <c r="E373" s="1293"/>
      <c r="F373" s="1293"/>
      <c r="G373" s="1293"/>
      <c r="H373" s="1293"/>
      <c r="I373" s="1293"/>
      <c r="J373" s="1293"/>
      <c r="K373" s="1293"/>
      <c r="L373" s="1293"/>
      <c r="M373" s="1293"/>
      <c r="N373" s="1293"/>
      <c r="O373" s="1293"/>
      <c r="P373" s="1293"/>
      <c r="Q373" s="1294"/>
      <c r="R373" s="534" t="s">
        <v>752</v>
      </c>
      <c r="S373" s="382"/>
      <c r="T373" s="382"/>
      <c r="U373" s="382"/>
      <c r="V373" s="382"/>
      <c r="W373" s="380"/>
      <c r="X373" s="380"/>
      <c r="Y373" s="380"/>
      <c r="Z373" s="380"/>
      <c r="AA373" s="380"/>
      <c r="AB373" s="380"/>
      <c r="AC373" s="380"/>
      <c r="AD373" s="198"/>
    </row>
    <row r="374" spans="1:38" ht="26.25" customHeight="1" x14ac:dyDescent="0.2">
      <c r="A374" s="1278"/>
      <c r="B374" s="1255"/>
      <c r="C374" s="1255"/>
      <c r="D374" s="1255"/>
      <c r="E374" s="1255"/>
      <c r="F374" s="1255"/>
      <c r="G374" s="1255"/>
      <c r="H374" s="1255"/>
      <c r="I374" s="1255"/>
      <c r="J374" s="1255"/>
      <c r="K374" s="1255"/>
      <c r="L374" s="1255"/>
      <c r="M374" s="1255"/>
      <c r="N374" s="1255"/>
      <c r="O374" s="1255"/>
      <c r="P374" s="1255"/>
      <c r="Q374" s="1256"/>
      <c r="R374" s="534" t="s">
        <v>752</v>
      </c>
      <c r="S374" s="386" t="str">
        <f>IF(ISBLANK(A374),"",A374)</f>
        <v/>
      </c>
      <c r="T374" s="354" t="s">
        <v>194</v>
      </c>
      <c r="U374" s="380"/>
      <c r="V374" s="380"/>
      <c r="W374" s="380"/>
      <c r="X374" s="198"/>
      <c r="Y374" s="198"/>
      <c r="Z374" s="198"/>
      <c r="AA374" s="388"/>
      <c r="AB374" s="388"/>
      <c r="AC374" s="388"/>
      <c r="AD374" s="352"/>
    </row>
    <row r="375" spans="1:38" ht="26.25" customHeight="1" thickBot="1" x14ac:dyDescent="0.25">
      <c r="A375" s="1266"/>
      <c r="B375" s="1267"/>
      <c r="C375" s="1267"/>
      <c r="D375" s="1267"/>
      <c r="E375" s="1267"/>
      <c r="F375" s="1267"/>
      <c r="G375" s="1267"/>
      <c r="H375" s="1267"/>
      <c r="I375" s="1267"/>
      <c r="J375" s="1267"/>
      <c r="K375" s="1267"/>
      <c r="L375" s="1267"/>
      <c r="M375" s="1267"/>
      <c r="N375" s="1267"/>
      <c r="O375" s="1267"/>
      <c r="P375" s="1267"/>
      <c r="Q375" s="1268"/>
      <c r="R375" s="531" t="s">
        <v>752</v>
      </c>
      <c r="S375" s="380"/>
      <c r="T375" s="354"/>
      <c r="U375" s="380"/>
      <c r="V375" s="380"/>
      <c r="W375" s="380"/>
      <c r="X375" s="378"/>
      <c r="Y375" s="378"/>
      <c r="Z375" s="378"/>
      <c r="AA375" s="394"/>
      <c r="AB375" s="394"/>
      <c r="AC375" s="394"/>
      <c r="AD375" s="352"/>
    </row>
    <row r="376" spans="1:38" ht="26.25" customHeight="1" x14ac:dyDescent="0.2">
      <c r="A376" s="1260" t="s">
        <v>640</v>
      </c>
      <c r="B376" s="1261"/>
      <c r="C376" s="1261"/>
      <c r="D376" s="1261"/>
      <c r="E376" s="1261"/>
      <c r="F376" s="1261"/>
      <c r="G376" s="1261"/>
      <c r="H376" s="1261"/>
      <c r="I376" s="1261"/>
      <c r="J376" s="1261"/>
      <c r="K376" s="1261"/>
      <c r="L376" s="1261"/>
      <c r="M376" s="1261"/>
      <c r="N376" s="1261"/>
      <c r="O376" s="1261"/>
      <c r="P376" s="1261"/>
      <c r="Q376" s="1262"/>
      <c r="R376" s="531" t="s">
        <v>752</v>
      </c>
      <c r="S376" s="382" t="s">
        <v>641</v>
      </c>
      <c r="T376" s="378"/>
      <c r="U376" s="378"/>
      <c r="V376" s="378"/>
      <c r="W376" s="380"/>
      <c r="X376" s="380"/>
      <c r="Y376" s="380"/>
      <c r="Z376" s="380"/>
      <c r="AA376" s="198"/>
      <c r="AB376" s="198"/>
      <c r="AC376" s="198"/>
      <c r="AD376" s="352"/>
      <c r="AL376" s="200"/>
    </row>
    <row r="377" spans="1:38" ht="26.25" customHeight="1" x14ac:dyDescent="0.2">
      <c r="A377" s="1295" t="s">
        <v>642</v>
      </c>
      <c r="B377" s="1296"/>
      <c r="C377" s="1296"/>
      <c r="D377" s="1296"/>
      <c r="E377" s="1296"/>
      <c r="F377" s="1296"/>
      <c r="G377" s="1296"/>
      <c r="H377" s="1296"/>
      <c r="I377" s="1296"/>
      <c r="J377" s="1296"/>
      <c r="K377" s="1296"/>
      <c r="L377" s="1297"/>
      <c r="M377" s="1272"/>
      <c r="N377" s="1273"/>
      <c r="O377" s="1273"/>
      <c r="P377" s="1273"/>
      <c r="Q377" s="1274"/>
      <c r="R377" s="531" t="s">
        <v>752</v>
      </c>
      <c r="S377" s="387" t="str">
        <f>IF(ISBLANK(M377),"",VLOOKUP(M377,VImpact,2,FALSE))</f>
        <v/>
      </c>
      <c r="T377" s="151" t="s">
        <v>643</v>
      </c>
      <c r="U377" s="380"/>
      <c r="V377" s="380"/>
      <c r="W377" s="380"/>
      <c r="X377" s="380"/>
      <c r="Y377" s="380"/>
      <c r="Z377" s="380"/>
      <c r="AA377" s="198"/>
      <c r="AB377" s="198"/>
      <c r="AC377" s="198"/>
      <c r="AD377" s="352"/>
      <c r="AL377" s="200"/>
    </row>
    <row r="378" spans="1:38" ht="26.25" customHeight="1" x14ac:dyDescent="0.2">
      <c r="A378" s="1269" t="s">
        <v>644</v>
      </c>
      <c r="B378" s="1270"/>
      <c r="C378" s="1270"/>
      <c r="D378" s="1270"/>
      <c r="E378" s="1270"/>
      <c r="F378" s="1270"/>
      <c r="G378" s="1270"/>
      <c r="H378" s="1270"/>
      <c r="I378" s="1270"/>
      <c r="J378" s="1270"/>
      <c r="K378" s="1270"/>
      <c r="L378" s="1271"/>
      <c r="M378" s="1272"/>
      <c r="N378" s="1273"/>
      <c r="O378" s="1273"/>
      <c r="P378" s="1273"/>
      <c r="Q378" s="1274"/>
      <c r="R378" s="531" t="s">
        <v>752</v>
      </c>
      <c r="S378" s="387" t="str">
        <f>IF(ISBLANK(M378),"",VLOOKUP(M378,VEvidence,2,FALSE))</f>
        <v/>
      </c>
      <c r="T378" s="233" t="s">
        <v>645</v>
      </c>
      <c r="U378" s="380"/>
      <c r="V378" s="380"/>
      <c r="W378" s="198"/>
      <c r="X378" s="380"/>
      <c r="Y378" s="380"/>
      <c r="Z378" s="380"/>
      <c r="AA378" s="198"/>
      <c r="AB378" s="198"/>
      <c r="AC378" s="198"/>
      <c r="AD378" s="198"/>
      <c r="AL378" s="124"/>
    </row>
    <row r="379" spans="1:38" ht="26.25" customHeight="1" x14ac:dyDescent="0.2">
      <c r="A379" s="1275" t="s">
        <v>646</v>
      </c>
      <c r="B379" s="1276"/>
      <c r="C379" s="1276"/>
      <c r="D379" s="1276"/>
      <c r="E379" s="1276"/>
      <c r="F379" s="1276"/>
      <c r="G379" s="1276"/>
      <c r="H379" s="1276"/>
      <c r="I379" s="1276"/>
      <c r="J379" s="1276"/>
      <c r="K379" s="1276"/>
      <c r="L379" s="1276"/>
      <c r="M379" s="1276"/>
      <c r="N379" s="1276"/>
      <c r="O379" s="1276"/>
      <c r="P379" s="1276"/>
      <c r="Q379" s="1277"/>
      <c r="R379" s="531" t="s">
        <v>752</v>
      </c>
      <c r="S379" s="386" t="str">
        <f>IF(ISBLANK(A380),"",A380)</f>
        <v/>
      </c>
      <c r="T379" s="354" t="s">
        <v>193</v>
      </c>
      <c r="U379" s="380"/>
      <c r="V379" s="380"/>
      <c r="W379" s="378"/>
      <c r="X379" s="380"/>
      <c r="Y379" s="380"/>
      <c r="Z379" s="380"/>
      <c r="AA379" s="198"/>
      <c r="AB379" s="198"/>
      <c r="AC379" s="198"/>
      <c r="AD379" s="198"/>
      <c r="AL379" s="124"/>
    </row>
    <row r="380" spans="1:38" ht="26.25" customHeight="1" x14ac:dyDescent="0.2">
      <c r="A380" s="1278"/>
      <c r="B380" s="1255"/>
      <c r="C380" s="1255"/>
      <c r="D380" s="1255"/>
      <c r="E380" s="1255"/>
      <c r="F380" s="1255"/>
      <c r="G380" s="1255"/>
      <c r="H380" s="1255"/>
      <c r="I380" s="1255"/>
      <c r="J380" s="1255"/>
      <c r="K380" s="1255"/>
      <c r="L380" s="1255"/>
      <c r="M380" s="1255"/>
      <c r="N380" s="1255"/>
      <c r="O380" s="1255"/>
      <c r="P380" s="1255"/>
      <c r="Q380" s="1256"/>
      <c r="R380" s="531" t="s">
        <v>752</v>
      </c>
      <c r="S380" s="380"/>
      <c r="T380" s="389"/>
      <c r="U380" s="380"/>
      <c r="V380" s="380"/>
      <c r="W380" s="380"/>
      <c r="X380" s="380"/>
      <c r="Y380" s="380"/>
      <c r="Z380" s="380"/>
      <c r="AA380" s="198"/>
      <c r="AB380" s="198"/>
      <c r="AC380" s="198"/>
      <c r="AD380" s="198"/>
      <c r="AL380" s="124"/>
    </row>
    <row r="381" spans="1:38" ht="26.25" customHeight="1" x14ac:dyDescent="0.2">
      <c r="A381" s="1279"/>
      <c r="B381" s="1280"/>
      <c r="C381" s="1280"/>
      <c r="D381" s="1280"/>
      <c r="E381" s="1280"/>
      <c r="F381" s="1280"/>
      <c r="G381" s="1280"/>
      <c r="H381" s="1280"/>
      <c r="I381" s="1280"/>
      <c r="J381" s="1280"/>
      <c r="K381" s="1280"/>
      <c r="L381" s="1280"/>
      <c r="M381" s="1280"/>
      <c r="N381" s="1280"/>
      <c r="O381" s="1280"/>
      <c r="P381" s="1280"/>
      <c r="Q381" s="1281"/>
      <c r="R381" s="531" t="s">
        <v>752</v>
      </c>
      <c r="S381" s="380"/>
      <c r="T381" s="389"/>
      <c r="U381" s="380"/>
      <c r="V381" s="380"/>
      <c r="W381" s="380"/>
      <c r="X381" s="380"/>
      <c r="Y381" s="380"/>
      <c r="Z381" s="380"/>
      <c r="AA381" s="349"/>
      <c r="AB381" s="349"/>
      <c r="AC381" s="349"/>
      <c r="AD381" s="399"/>
      <c r="AL381" s="124"/>
    </row>
    <row r="382" spans="1:38" ht="26.25" customHeight="1" x14ac:dyDescent="0.2">
      <c r="A382" s="1282" t="s">
        <v>647</v>
      </c>
      <c r="B382" s="1283"/>
      <c r="C382" s="1283"/>
      <c r="D382" s="1283"/>
      <c r="E382" s="1283"/>
      <c r="F382" s="1283"/>
      <c r="G382" s="1283"/>
      <c r="H382" s="1283"/>
      <c r="I382" s="1283"/>
      <c r="J382" s="1283"/>
      <c r="K382" s="1283"/>
      <c r="L382" s="1283"/>
      <c r="M382" s="1283"/>
      <c r="N382" s="1283"/>
      <c r="O382" s="1283"/>
      <c r="P382" s="1283"/>
      <c r="Q382" s="1284"/>
      <c r="R382" s="531" t="s">
        <v>752</v>
      </c>
      <c r="S382" s="386" t="str">
        <f>IF(ISBLANK(A383),"",A383)</f>
        <v/>
      </c>
      <c r="T382" s="389" t="s">
        <v>584</v>
      </c>
      <c r="U382" s="380"/>
      <c r="V382" s="380"/>
      <c r="W382" s="380"/>
      <c r="X382" s="380"/>
      <c r="Y382" s="380"/>
      <c r="Z382" s="380"/>
      <c r="AA382" s="198"/>
      <c r="AB382" s="198"/>
      <c r="AC382" s="198"/>
      <c r="AD382" s="198"/>
      <c r="AL382" s="124"/>
    </row>
    <row r="383" spans="1:38" ht="26.25" customHeight="1" x14ac:dyDescent="0.2">
      <c r="A383" s="1278"/>
      <c r="B383" s="1255"/>
      <c r="C383" s="1255"/>
      <c r="D383" s="1255"/>
      <c r="E383" s="1255"/>
      <c r="F383" s="1255"/>
      <c r="G383" s="1255"/>
      <c r="H383" s="1255"/>
      <c r="I383" s="1255"/>
      <c r="J383" s="1255"/>
      <c r="K383" s="1255"/>
      <c r="L383" s="1255"/>
      <c r="M383" s="1255"/>
      <c r="N383" s="1255"/>
      <c r="O383" s="1255"/>
      <c r="P383" s="1255"/>
      <c r="Q383" s="1285"/>
      <c r="R383" s="534" t="s">
        <v>752</v>
      </c>
      <c r="U383" s="380"/>
      <c r="V383" s="380"/>
      <c r="W383" s="380"/>
      <c r="X383" s="380"/>
      <c r="Y383" s="380"/>
      <c r="Z383" s="380"/>
      <c r="AA383" s="198"/>
      <c r="AB383" s="198"/>
      <c r="AC383" s="198"/>
      <c r="AD383" s="198"/>
      <c r="AL383" s="124"/>
    </row>
    <row r="384" spans="1:38" ht="26.25" customHeight="1" thickBot="1" x14ac:dyDescent="0.25">
      <c r="A384" s="1257"/>
      <c r="B384" s="1258"/>
      <c r="C384" s="1258"/>
      <c r="D384" s="1258"/>
      <c r="E384" s="1258"/>
      <c r="F384" s="1258"/>
      <c r="G384" s="1258"/>
      <c r="H384" s="1258"/>
      <c r="I384" s="1258"/>
      <c r="J384" s="1258"/>
      <c r="K384" s="1258"/>
      <c r="L384" s="1258"/>
      <c r="M384" s="1258"/>
      <c r="N384" s="1258"/>
      <c r="O384" s="1258"/>
      <c r="P384" s="1258"/>
      <c r="Q384" s="1259"/>
      <c r="R384" s="534" t="s">
        <v>752</v>
      </c>
      <c r="S384" s="380"/>
      <c r="T384" s="380"/>
      <c r="U384" s="380"/>
      <c r="V384" s="380"/>
      <c r="W384" s="380"/>
      <c r="X384" s="380"/>
      <c r="Y384" s="380"/>
      <c r="Z384" s="380"/>
      <c r="AA384" s="198"/>
      <c r="AB384" s="198"/>
      <c r="AC384" s="198"/>
      <c r="AD384" s="352"/>
      <c r="AL384" s="124"/>
    </row>
    <row r="385" spans="1:38" ht="26.25" customHeight="1" x14ac:dyDescent="0.25">
      <c r="A385" s="1251" t="s">
        <v>649</v>
      </c>
      <c r="B385" s="1252"/>
      <c r="C385" s="1252"/>
      <c r="D385" s="1252"/>
      <c r="E385" s="1252"/>
      <c r="F385" s="1252"/>
      <c r="G385" s="1252"/>
      <c r="H385" s="1252"/>
      <c r="I385" s="1252"/>
      <c r="J385" s="1252"/>
      <c r="K385" s="1252"/>
      <c r="L385" s="1252"/>
      <c r="M385" s="1252"/>
      <c r="N385" s="1252"/>
      <c r="O385" s="1252"/>
      <c r="P385" s="1252"/>
      <c r="Q385" s="1253"/>
      <c r="R385" s="531" t="s">
        <v>752</v>
      </c>
      <c r="S385" s="392" t="str">
        <f>IF(ISBLANK(A386),"",A386)</f>
        <v/>
      </c>
      <c r="T385" s="393" t="s">
        <v>650</v>
      </c>
      <c r="W385" s="380"/>
      <c r="X385" s="388"/>
      <c r="Y385" s="388"/>
      <c r="Z385" s="388"/>
      <c r="AA385" s="349"/>
      <c r="AB385" s="349"/>
      <c r="AC385" s="349"/>
      <c r="AD385" s="385"/>
      <c r="AL385" s="124"/>
    </row>
    <row r="386" spans="1:38" ht="26.25" customHeight="1" x14ac:dyDescent="0.2">
      <c r="A386" s="1278"/>
      <c r="B386" s="1255"/>
      <c r="C386" s="1255"/>
      <c r="D386" s="1255"/>
      <c r="E386" s="1255"/>
      <c r="F386" s="1255"/>
      <c r="G386" s="1255"/>
      <c r="H386" s="1255"/>
      <c r="I386" s="1255"/>
      <c r="J386" s="1255"/>
      <c r="K386" s="1255"/>
      <c r="L386" s="1255"/>
      <c r="M386" s="1255"/>
      <c r="N386" s="1255"/>
      <c r="O386" s="1255"/>
      <c r="P386" s="1255"/>
      <c r="Q386" s="1256"/>
      <c r="R386" s="531" t="s">
        <v>752</v>
      </c>
      <c r="W386" s="380"/>
      <c r="X386" s="378"/>
      <c r="Y386" s="378"/>
      <c r="Z386" s="378"/>
      <c r="AA386" s="380"/>
      <c r="AB386" s="380"/>
      <c r="AC386" s="380"/>
      <c r="AD386" s="198"/>
      <c r="AL386" s="124"/>
    </row>
    <row r="387" spans="1:38" ht="26.25" customHeight="1" thickBot="1" x14ac:dyDescent="0.3">
      <c r="A387" s="1257"/>
      <c r="B387" s="1258"/>
      <c r="C387" s="1258"/>
      <c r="D387" s="1258"/>
      <c r="E387" s="1258"/>
      <c r="F387" s="1258"/>
      <c r="G387" s="1258"/>
      <c r="H387" s="1258"/>
      <c r="I387" s="1258"/>
      <c r="J387" s="1258"/>
      <c r="K387" s="1258"/>
      <c r="L387" s="1258"/>
      <c r="M387" s="1258"/>
      <c r="N387" s="1258"/>
      <c r="O387" s="1258"/>
      <c r="P387" s="1258"/>
      <c r="Q387" s="1259"/>
      <c r="R387" s="531" t="s">
        <v>752</v>
      </c>
      <c r="S387" s="352"/>
      <c r="T387" s="352"/>
      <c r="U387" s="352"/>
      <c r="V387" s="352"/>
      <c r="W387" s="380"/>
      <c r="X387" s="380"/>
      <c r="Y387" s="380"/>
      <c r="Z387" s="380"/>
      <c r="AA387" s="380"/>
      <c r="AB387" s="380"/>
      <c r="AC387" s="380"/>
      <c r="AD387" s="385"/>
      <c r="AL387" s="200"/>
    </row>
    <row r="388" spans="1:38" ht="26.25" customHeight="1" x14ac:dyDescent="0.25">
      <c r="A388" s="1260" t="s">
        <v>651</v>
      </c>
      <c r="B388" s="1261"/>
      <c r="C388" s="1261"/>
      <c r="D388" s="1261"/>
      <c r="E388" s="1261"/>
      <c r="F388" s="1261"/>
      <c r="G388" s="1261"/>
      <c r="H388" s="1261"/>
      <c r="I388" s="1261"/>
      <c r="J388" s="1261"/>
      <c r="K388" s="1261"/>
      <c r="L388" s="1261"/>
      <c r="M388" s="1261"/>
      <c r="N388" s="1261"/>
      <c r="O388" s="1261"/>
      <c r="P388" s="1261"/>
      <c r="Q388" s="1262"/>
      <c r="R388" s="531" t="s">
        <v>752</v>
      </c>
      <c r="S388" s="395"/>
      <c r="T388" s="396"/>
      <c r="U388" s="390"/>
      <c r="V388" s="390"/>
      <c r="W388" s="380"/>
      <c r="X388" s="380"/>
      <c r="Y388" s="380"/>
      <c r="Z388" s="380"/>
      <c r="AA388" s="380"/>
      <c r="AB388" s="380"/>
      <c r="AC388" s="380"/>
      <c r="AD388" s="385"/>
    </row>
    <row r="389" spans="1:38" ht="26.25" customHeight="1" x14ac:dyDescent="0.25">
      <c r="A389" s="1263"/>
      <c r="B389" s="1264"/>
      <c r="C389" s="1264"/>
      <c r="D389" s="1264"/>
      <c r="E389" s="1264"/>
      <c r="F389" s="1264"/>
      <c r="G389" s="1264"/>
      <c r="H389" s="1264"/>
      <c r="I389" s="1264"/>
      <c r="J389" s="1264"/>
      <c r="K389" s="1264"/>
      <c r="L389" s="1264"/>
      <c r="M389" s="1264"/>
      <c r="N389" s="1264"/>
      <c r="O389" s="1264"/>
      <c r="P389" s="1264"/>
      <c r="Q389" s="1265"/>
      <c r="R389" s="531" t="s">
        <v>752</v>
      </c>
      <c r="S389" s="397" t="str">
        <f>IF(ISBLANK(A389),"",CONCATENATE(S388,A389))</f>
        <v/>
      </c>
      <c r="T389" s="354" t="s">
        <v>195</v>
      </c>
      <c r="U389" s="183"/>
      <c r="V389" s="183"/>
      <c r="W389" s="388"/>
      <c r="X389" s="380"/>
      <c r="Y389" s="380"/>
      <c r="Z389" s="380"/>
      <c r="AA389" s="380"/>
      <c r="AB389" s="380"/>
      <c r="AC389" s="380"/>
      <c r="AD389" s="385"/>
    </row>
    <row r="390" spans="1:38" ht="26.25" customHeight="1" thickBot="1" x14ac:dyDescent="0.3">
      <c r="A390" s="1266"/>
      <c r="B390" s="1267"/>
      <c r="C390" s="1267"/>
      <c r="D390" s="1267"/>
      <c r="E390" s="1267"/>
      <c r="F390" s="1267"/>
      <c r="G390" s="1267"/>
      <c r="H390" s="1267"/>
      <c r="I390" s="1267"/>
      <c r="J390" s="1267"/>
      <c r="K390" s="1267"/>
      <c r="L390" s="1267"/>
      <c r="M390" s="1267"/>
      <c r="N390" s="1267"/>
      <c r="O390" s="1267"/>
      <c r="P390" s="1267"/>
      <c r="Q390" s="1268"/>
      <c r="R390" s="531" t="s">
        <v>752</v>
      </c>
      <c r="S390" s="198"/>
      <c r="T390" s="198"/>
      <c r="U390" s="198"/>
      <c r="V390" s="198"/>
      <c r="W390" s="378"/>
      <c r="X390" s="380"/>
      <c r="Y390" s="380"/>
      <c r="Z390" s="380"/>
      <c r="AA390" s="380"/>
      <c r="AB390" s="380"/>
      <c r="AC390" s="380"/>
      <c r="AD390" s="385"/>
    </row>
    <row r="391" spans="1:38" ht="26.25" customHeight="1" thickBot="1" x14ac:dyDescent="0.3">
      <c r="A391" s="1369" t="e">
        <f>$A$1</f>
        <v>#N/A</v>
      </c>
      <c r="B391" s="1369"/>
      <c r="C391" s="1369"/>
      <c r="D391" s="1369"/>
      <c r="E391" s="1369"/>
      <c r="F391" s="1369"/>
      <c r="G391" s="1369"/>
      <c r="H391" s="1369"/>
      <c r="I391" s="1369"/>
      <c r="J391" s="1369"/>
      <c r="K391" s="1369"/>
      <c r="L391" s="1369"/>
      <c r="M391" s="1369"/>
      <c r="N391" s="1369"/>
      <c r="O391" s="1369"/>
      <c r="P391" s="1369"/>
      <c r="Q391" s="1369"/>
      <c r="R391" s="531" t="s">
        <v>752</v>
      </c>
      <c r="S391" s="388"/>
      <c r="T391" s="388"/>
      <c r="U391" s="388"/>
      <c r="V391" s="388"/>
      <c r="W391" s="380"/>
      <c r="X391" s="380"/>
      <c r="Y391" s="380"/>
      <c r="Z391" s="380"/>
      <c r="AA391" s="380"/>
      <c r="AB391" s="380"/>
      <c r="AC391" s="380"/>
      <c r="AD391" s="385"/>
    </row>
    <row r="392" spans="1:38" ht="26.25" customHeight="1" thickBot="1" x14ac:dyDescent="0.3">
      <c r="A392" s="1364" t="s">
        <v>203</v>
      </c>
      <c r="B392" s="1365"/>
      <c r="C392" s="1365"/>
      <c r="D392" s="1365"/>
      <c r="E392" s="1365"/>
      <c r="F392" s="1365"/>
      <c r="G392" s="1365"/>
      <c r="H392" s="1365"/>
      <c r="I392" s="1365"/>
      <c r="J392" s="1365"/>
      <c r="K392" s="1365"/>
      <c r="L392" s="1365"/>
      <c r="M392" s="1365"/>
      <c r="N392" s="1366" t="str">
        <f>$N$5</f>
        <v>2024 Report Year</v>
      </c>
      <c r="O392" s="1367"/>
      <c r="P392" s="1367"/>
      <c r="Q392" s="1368"/>
      <c r="R392" s="534" t="s">
        <v>752</v>
      </c>
      <c r="S392" s="394"/>
      <c r="T392" s="394"/>
      <c r="U392" s="394"/>
      <c r="V392" s="394"/>
      <c r="W392" s="380"/>
      <c r="X392" s="380"/>
      <c r="Y392" s="380"/>
      <c r="Z392" s="380"/>
      <c r="AA392" s="380"/>
      <c r="AB392" s="380"/>
      <c r="AC392" s="380"/>
      <c r="AD392" s="385"/>
    </row>
    <row r="393" spans="1:38" ht="24.6" customHeight="1" x14ac:dyDescent="0.25">
      <c r="A393" s="1351" t="str">
        <f>IF(AND(OR(ISNA(cap_exp_contact),TRIM(cap_exp_contact)=""),NOT(ISBLANK(code_7594))),"The Capital Expenditure Contact information has NOT been provided.  Please complete this information now.","")</f>
        <v/>
      </c>
      <c r="B393" s="1352"/>
      <c r="C393" s="1352"/>
      <c r="D393" s="1352"/>
      <c r="E393" s="1352"/>
      <c r="F393" s="1352"/>
      <c r="G393" s="1352"/>
      <c r="H393" s="1352"/>
      <c r="I393" s="1352"/>
      <c r="J393" s="1352"/>
      <c r="K393" s="1352"/>
      <c r="L393" s="1352"/>
      <c r="M393" s="1352"/>
      <c r="N393" s="343" t="s">
        <v>602</v>
      </c>
      <c r="O393" s="344" t="e">
        <f>$O$6</f>
        <v>#N/A</v>
      </c>
      <c r="P393" s="345" t="s">
        <v>603</v>
      </c>
      <c r="Q393" s="346" t="e">
        <f>IF(ISBLANK(Q350),"",Q350+1)</f>
        <v>#VALUE!</v>
      </c>
      <c r="R393" s="534" t="s">
        <v>752</v>
      </c>
      <c r="S393" s="198"/>
      <c r="T393" s="198"/>
      <c r="U393" s="198"/>
      <c r="V393" s="198"/>
      <c r="W393" s="380"/>
      <c r="X393" s="380"/>
      <c r="Y393" s="380"/>
      <c r="Z393" s="380"/>
      <c r="AA393" s="380"/>
      <c r="AB393" s="380"/>
      <c r="AC393" s="380"/>
      <c r="AD393" s="385"/>
    </row>
    <row r="394" spans="1:38" ht="26.25" customHeight="1" thickBot="1" x14ac:dyDescent="0.3">
      <c r="A394" s="1353" t="s">
        <v>197</v>
      </c>
      <c r="B394" s="1354"/>
      <c r="C394" s="1354"/>
      <c r="D394" s="1354"/>
      <c r="E394" s="1355"/>
      <c r="F394" s="1356"/>
      <c r="G394" s="1356"/>
      <c r="H394" s="1356"/>
      <c r="I394" s="1356"/>
      <c r="J394" s="1356"/>
      <c r="K394" s="1356"/>
      <c r="L394" s="1357"/>
      <c r="M394" s="550" t="s">
        <v>752</v>
      </c>
      <c r="N394" s="1358" t="s">
        <v>604</v>
      </c>
      <c r="O394" s="1359"/>
      <c r="P394" s="1359"/>
      <c r="Q394" s="1360"/>
      <c r="R394" s="531" t="s">
        <v>752</v>
      </c>
      <c r="S394" s="348" t="str">
        <f>IF(ISBLANK(E394),"",E394)</f>
        <v/>
      </c>
      <c r="T394" s="143" t="s">
        <v>495</v>
      </c>
      <c r="U394" s="280"/>
      <c r="V394" s="280"/>
      <c r="W394" s="380"/>
      <c r="X394" s="380"/>
      <c r="Y394" s="380"/>
      <c r="Z394" s="380"/>
      <c r="AA394" s="380"/>
      <c r="AB394" s="380"/>
      <c r="AC394" s="380"/>
      <c r="AD394" s="385"/>
    </row>
    <row r="395" spans="1:38" ht="26.25" customHeight="1" x14ac:dyDescent="0.25">
      <c r="A395" s="1361" t="s">
        <v>605</v>
      </c>
      <c r="B395" s="1362"/>
      <c r="C395" s="1362"/>
      <c r="D395" s="1363"/>
      <c r="E395" s="1339"/>
      <c r="F395" s="1340"/>
      <c r="G395" s="1340"/>
      <c r="H395" s="1340"/>
      <c r="I395" s="1340"/>
      <c r="J395" s="1340"/>
      <c r="K395" s="1340"/>
      <c r="L395" s="1341"/>
      <c r="M395" s="1342" t="str">
        <f>IF(AND(ISBLANK(E395),OR(NOT(ISBLANK(E396)),NOT(ISBLANK(E397)),NOT(ISBLANK(E398)),NOT(ISBLANK(I399)),NOT(ISBLANK(A401)))),"This information is required.","")</f>
        <v/>
      </c>
      <c r="N395" s="1343"/>
      <c r="O395" s="1343"/>
      <c r="P395" s="1343"/>
      <c r="Q395" s="551" t="s">
        <v>752</v>
      </c>
      <c r="R395" s="531" t="s">
        <v>752</v>
      </c>
      <c r="S395" s="348" t="str">
        <f>IF(ISBLANK(E395),"",E395)</f>
        <v/>
      </c>
      <c r="T395" s="143" t="s">
        <v>185</v>
      </c>
      <c r="U395" s="280"/>
      <c r="V395" s="280"/>
      <c r="W395" s="380"/>
      <c r="X395" s="380"/>
      <c r="Y395" s="380"/>
      <c r="Z395" s="380"/>
      <c r="AA395" s="198"/>
      <c r="AB395" s="198"/>
      <c r="AC395" s="198"/>
      <c r="AD395" s="385"/>
    </row>
    <row r="396" spans="1:38" ht="26.25" customHeight="1" x14ac:dyDescent="0.25">
      <c r="A396" s="1325" t="s">
        <v>606</v>
      </c>
      <c r="B396" s="1326"/>
      <c r="C396" s="1326"/>
      <c r="D396" s="1327"/>
      <c r="E396" s="1339"/>
      <c r="F396" s="1340"/>
      <c r="G396" s="1340"/>
      <c r="H396" s="1340"/>
      <c r="I396" s="1340"/>
      <c r="J396" s="1340"/>
      <c r="K396" s="1340"/>
      <c r="L396" s="1341"/>
      <c r="M396" s="1342" t="str">
        <f>IF(AND(ISBLANK(E396),OR(NOT(ISBLANK(E395)),NOT(ISBLANK(E397)),NOT(ISBLANK(E398)),NOT(ISBLANK(I399)),NOT(ISBLANK(A401)))),"This information is required.","")</f>
        <v/>
      </c>
      <c r="N396" s="1343"/>
      <c r="O396" s="1343"/>
      <c r="P396" s="1343"/>
      <c r="Q396" s="551" t="s">
        <v>752</v>
      </c>
      <c r="R396" s="531" t="s">
        <v>752</v>
      </c>
      <c r="S396" s="348" t="str">
        <f>IF(ISBLANK(E396),"",E396)</f>
        <v/>
      </c>
      <c r="T396" s="143" t="s">
        <v>186</v>
      </c>
      <c r="U396" s="280"/>
      <c r="V396" s="280"/>
      <c r="W396" s="380"/>
      <c r="X396" s="198"/>
      <c r="Y396" s="198"/>
      <c r="Z396" s="198"/>
      <c r="AA396" s="378"/>
      <c r="AB396" s="378"/>
      <c r="AC396" s="378"/>
      <c r="AD396" s="385"/>
    </row>
    <row r="397" spans="1:38" ht="26.25" customHeight="1" x14ac:dyDescent="0.2">
      <c r="A397" s="1344" t="s">
        <v>607</v>
      </c>
      <c r="B397" s="1345"/>
      <c r="C397" s="1345"/>
      <c r="D397" s="1346"/>
      <c r="E397" s="1347"/>
      <c r="F397" s="1348"/>
      <c r="G397" s="1349" t="s">
        <v>608</v>
      </c>
      <c r="H397" s="1349"/>
      <c r="I397" s="1349"/>
      <c r="J397" s="1349"/>
      <c r="K397" s="1349"/>
      <c r="L397" s="1349"/>
      <c r="M397" s="1350" t="str">
        <f>IF(AND(ISBLANK(E397),OR(NOT(ISBLANK(E395)),NOT(ISBLANK(E396)),NOT(ISBLANK(E398)),NOT(ISBLANK(I399)),NOT(ISBLANK(A401)))),"This information is required.","")</f>
        <v/>
      </c>
      <c r="N397" s="1202"/>
      <c r="O397" s="1202"/>
      <c r="P397" s="1202"/>
      <c r="Q397" s="532" t="s">
        <v>752</v>
      </c>
      <c r="R397" s="531" t="s">
        <v>752</v>
      </c>
      <c r="S397" s="350" t="str">
        <f>IF(ISBLANK(E397),"",E397)</f>
        <v/>
      </c>
      <c r="T397" s="351" t="s">
        <v>188</v>
      </c>
      <c r="U397" s="349"/>
      <c r="V397" s="349"/>
      <c r="W397" s="380"/>
      <c r="X397" s="382"/>
      <c r="Y397" s="382"/>
      <c r="Z397" s="382"/>
      <c r="AA397" s="380"/>
      <c r="AB397" s="380"/>
      <c r="AC397" s="380"/>
      <c r="AD397" s="198"/>
    </row>
    <row r="398" spans="1:38" ht="26.25" customHeight="1" x14ac:dyDescent="0.25">
      <c r="A398" s="1325" t="s">
        <v>609</v>
      </c>
      <c r="B398" s="1326"/>
      <c r="C398" s="1326"/>
      <c r="D398" s="1327"/>
      <c r="E398" s="1328"/>
      <c r="F398" s="1329"/>
      <c r="G398" s="1337" t="s">
        <v>752</v>
      </c>
      <c r="H398" s="1338"/>
      <c r="I398" s="1338"/>
      <c r="J398" s="1338"/>
      <c r="K398" s="1338"/>
      <c r="L398" s="1338"/>
      <c r="M398" s="1202" t="str">
        <f>IF(AND(ISBLANK(E398),OR(NOT(ISBLANK(E395)),NOT(ISBLANK(E396)),NOT(ISBLANK(E397)),NOT(ISBLANK(I399)),NOT(ISBLANK(A401)))),"This information is required.","")</f>
        <v/>
      </c>
      <c r="N398" s="1202"/>
      <c r="O398" s="1202"/>
      <c r="P398" s="1202"/>
      <c r="Q398" s="532" t="s">
        <v>752</v>
      </c>
      <c r="R398" s="531" t="s">
        <v>752</v>
      </c>
      <c r="S398" s="353" t="str">
        <f>IF(ISBLANK(E398),"",E398)</f>
        <v/>
      </c>
      <c r="T398" s="354" t="s">
        <v>189</v>
      </c>
      <c r="U398" s="318"/>
      <c r="V398" s="318"/>
      <c r="W398" s="380"/>
      <c r="X398" s="380"/>
      <c r="Y398" s="380"/>
      <c r="Z398" s="380"/>
      <c r="AA398" s="380"/>
      <c r="AB398" s="380"/>
      <c r="AC398" s="380"/>
      <c r="AD398" s="385"/>
    </row>
    <row r="399" spans="1:38" ht="26.25" customHeight="1" thickBot="1" x14ac:dyDescent="0.3">
      <c r="A399" s="1330" t="s">
        <v>610</v>
      </c>
      <c r="B399" s="1331"/>
      <c r="C399" s="1331"/>
      <c r="D399" s="1331"/>
      <c r="E399" s="1332"/>
      <c r="F399" s="1332"/>
      <c r="G399" s="1332"/>
      <c r="H399" s="1332"/>
      <c r="I399" s="1333"/>
      <c r="J399" s="1333"/>
      <c r="K399" s="1334" t="s">
        <v>611</v>
      </c>
      <c r="L399" s="1335"/>
      <c r="M399" s="1336" t="str">
        <f>IF(AND(ISBLANK(I399),OR(NOT(ISBLANK(E395)),NOT(ISBLANK(E396)),NOT(ISBLANK(E397)),NOT(ISBLANK(E398)),NOT(ISBLANK(A401)))),"This information is required!","")</f>
        <v/>
      </c>
      <c r="N399" s="1336"/>
      <c r="O399" s="1336"/>
      <c r="P399" s="1336"/>
      <c r="Q399" s="553" t="s">
        <v>752</v>
      </c>
      <c r="R399" s="531" t="s">
        <v>752</v>
      </c>
      <c r="S399" s="353" t="str">
        <f>IF(ISBLANK(I399),"",I399)</f>
        <v/>
      </c>
      <c r="T399" s="354" t="s">
        <v>190</v>
      </c>
      <c r="U399" s="355"/>
      <c r="V399" s="355"/>
      <c r="W399" s="380"/>
      <c r="X399" s="380"/>
      <c r="Y399" s="380"/>
      <c r="Z399" s="380"/>
      <c r="AA399" s="380"/>
      <c r="AB399" s="380"/>
      <c r="AC399" s="380"/>
      <c r="AD399" s="385"/>
    </row>
    <row r="400" spans="1:38" ht="26.25" customHeight="1" x14ac:dyDescent="0.25">
      <c r="A400" s="1251" t="s">
        <v>613</v>
      </c>
      <c r="B400" s="1252"/>
      <c r="C400" s="1252"/>
      <c r="D400" s="1252"/>
      <c r="E400" s="1252"/>
      <c r="F400" s="1252"/>
      <c r="G400" s="1252"/>
      <c r="H400" s="1252"/>
      <c r="I400" s="1252"/>
      <c r="J400" s="1317"/>
      <c r="K400" s="1318" t="s">
        <v>679</v>
      </c>
      <c r="L400" s="1318"/>
      <c r="M400" s="1318"/>
      <c r="N400" s="1318"/>
      <c r="O400" s="1320" t="s">
        <v>614</v>
      </c>
      <c r="P400" s="1320"/>
      <c r="Q400" s="1321"/>
      <c r="R400" s="531" t="s">
        <v>752</v>
      </c>
      <c r="S400" s="353" t="str">
        <f>IF(ISBLANK(A401),"",A401)</f>
        <v/>
      </c>
      <c r="T400" s="354" t="s">
        <v>191</v>
      </c>
      <c r="U400" s="357"/>
      <c r="V400" s="357"/>
      <c r="W400" s="198"/>
      <c r="X400" s="380"/>
      <c r="Y400" s="380"/>
      <c r="Z400" s="380"/>
      <c r="AA400" s="380"/>
      <c r="AB400" s="380"/>
      <c r="AC400" s="380"/>
      <c r="AD400" s="385"/>
    </row>
    <row r="401" spans="1:30" ht="26.25" customHeight="1" x14ac:dyDescent="0.25">
      <c r="A401" s="1263"/>
      <c r="B401" s="1264"/>
      <c r="C401" s="1264"/>
      <c r="D401" s="1264"/>
      <c r="E401" s="1264"/>
      <c r="F401" s="1264"/>
      <c r="G401" s="1264"/>
      <c r="H401" s="1264"/>
      <c r="I401" s="1264"/>
      <c r="J401" s="1305"/>
      <c r="K401" s="1319"/>
      <c r="L401" s="1319"/>
      <c r="M401" s="1319"/>
      <c r="N401" s="1319"/>
      <c r="O401" s="555" t="s">
        <v>752</v>
      </c>
      <c r="P401" s="214" t="s">
        <v>265</v>
      </c>
      <c r="Q401" s="358" t="s">
        <v>266</v>
      </c>
      <c r="R401" s="531" t="s">
        <v>752</v>
      </c>
      <c r="S401" s="353" t="str">
        <f>IF(ISBLANK(A404),"",A404)</f>
        <v/>
      </c>
      <c r="T401" s="359" t="s">
        <v>192</v>
      </c>
      <c r="U401" s="357"/>
      <c r="V401" s="357"/>
      <c r="W401" s="382"/>
      <c r="X401" s="380"/>
      <c r="Y401" s="380"/>
      <c r="Z401" s="380"/>
      <c r="AA401" s="380"/>
      <c r="AB401" s="380"/>
      <c r="AC401" s="380"/>
      <c r="AD401" s="385"/>
    </row>
    <row r="402" spans="1:30" ht="26.25" customHeight="1" x14ac:dyDescent="0.25">
      <c r="A402" s="1279"/>
      <c r="B402" s="1280"/>
      <c r="C402" s="1280"/>
      <c r="D402" s="1280"/>
      <c r="E402" s="1280"/>
      <c r="F402" s="1280"/>
      <c r="G402" s="1280"/>
      <c r="H402" s="1280"/>
      <c r="I402" s="1280"/>
      <c r="J402" s="1306"/>
      <c r="K402" s="1307" t="s">
        <v>615</v>
      </c>
      <c r="L402" s="1308"/>
      <c r="M402" s="1308"/>
      <c r="N402" s="1308"/>
      <c r="O402" s="1309"/>
      <c r="P402" s="365"/>
      <c r="Q402" s="400"/>
      <c r="R402" s="355" t="str">
        <f>IF(COUNTBLANK(P402:Q402)=2,"Please enter response.",IF(COUNTBLANK(P402:Q402)&lt;&gt;1,"Please VERIFY response.",""))</f>
        <v>Please enter response.</v>
      </c>
      <c r="S402" s="366" t="str">
        <f>IF(AND(ISBLANK(P402),ISBLANK(Q402)),"",IF(ISBLANK(P402),0,1))</f>
        <v/>
      </c>
      <c r="T402" s="233" t="s">
        <v>586</v>
      </c>
      <c r="U402" s="200"/>
      <c r="V402" s="200"/>
      <c r="W402" s="380"/>
      <c r="X402" s="380"/>
      <c r="Y402" s="380"/>
      <c r="Z402" s="380"/>
      <c r="AA402" s="380"/>
      <c r="AB402" s="380"/>
      <c r="AC402" s="380"/>
      <c r="AD402" s="385"/>
    </row>
    <row r="403" spans="1:30" ht="26.25" customHeight="1" x14ac:dyDescent="0.25">
      <c r="A403" s="1322" t="s">
        <v>616</v>
      </c>
      <c r="B403" s="1323"/>
      <c r="C403" s="1323"/>
      <c r="D403" s="1323"/>
      <c r="E403" s="1323"/>
      <c r="F403" s="1323"/>
      <c r="G403" s="1323"/>
      <c r="H403" s="1323"/>
      <c r="I403" s="1323"/>
      <c r="J403" s="1324"/>
      <c r="K403" s="1307" t="s">
        <v>617</v>
      </c>
      <c r="L403" s="1308"/>
      <c r="M403" s="1308"/>
      <c r="N403" s="1308"/>
      <c r="O403" s="1309"/>
      <c r="P403" s="365"/>
      <c r="Q403" s="400"/>
      <c r="R403" s="355" t="str">
        <f>IF(COUNTBLANK(P403:Q403)=2,"Please enter response.",IF(COUNTBLANK(P403:Q403)&lt;&gt;1,"Please VERIFY response.",""))</f>
        <v>Please enter response.</v>
      </c>
      <c r="S403" s="366" t="str">
        <f>IF(AND(ISBLANK(P403),ISBLANK(Q403)),"",IF(ISBLANK(P403),0,1))</f>
        <v/>
      </c>
      <c r="T403" s="233" t="s">
        <v>587</v>
      </c>
      <c r="U403" s="200"/>
      <c r="V403" s="200"/>
      <c r="W403" s="380"/>
      <c r="X403" s="380"/>
      <c r="Y403" s="380"/>
      <c r="Z403" s="380"/>
      <c r="AA403" s="380"/>
      <c r="AB403" s="380"/>
      <c r="AC403" s="380"/>
      <c r="AD403" s="385"/>
    </row>
    <row r="404" spans="1:30" ht="26.25" customHeight="1" x14ac:dyDescent="0.25">
      <c r="A404" s="1263"/>
      <c r="B404" s="1264"/>
      <c r="C404" s="1264"/>
      <c r="D404" s="1264"/>
      <c r="E404" s="1264"/>
      <c r="F404" s="1264"/>
      <c r="G404" s="1264"/>
      <c r="H404" s="1264"/>
      <c r="I404" s="1264"/>
      <c r="J404" s="1305"/>
      <c r="K404" s="1307" t="s">
        <v>618</v>
      </c>
      <c r="L404" s="1308"/>
      <c r="M404" s="1308"/>
      <c r="N404" s="1308"/>
      <c r="O404" s="1309"/>
      <c r="P404" s="365"/>
      <c r="Q404" s="400"/>
      <c r="R404" s="355" t="str">
        <f>IF(COUNTBLANK(P404:Q404)=2,"Please enter response.",IF(COUNTBLANK(P404:Q404)&lt;&gt;1,"Please VERIFY response.",""))</f>
        <v>Please enter response.</v>
      </c>
      <c r="S404" s="366" t="str">
        <f>IF(AND(ISBLANK(P404),ISBLANK(Q404)),"",IF(ISBLANK(P404),0,1))</f>
        <v/>
      </c>
      <c r="T404" s="233" t="s">
        <v>588</v>
      </c>
      <c r="U404" s="200"/>
      <c r="V404" s="200"/>
      <c r="W404" s="380"/>
      <c r="X404" s="380"/>
      <c r="Y404" s="380"/>
      <c r="Z404" s="380"/>
      <c r="AA404" s="380"/>
      <c r="AB404" s="380"/>
      <c r="AC404" s="380"/>
      <c r="AD404" s="385"/>
    </row>
    <row r="405" spans="1:30" ht="26.25" customHeight="1" x14ac:dyDescent="0.25">
      <c r="A405" s="1279"/>
      <c r="B405" s="1280"/>
      <c r="C405" s="1280"/>
      <c r="D405" s="1280"/>
      <c r="E405" s="1280"/>
      <c r="F405" s="1280"/>
      <c r="G405" s="1280"/>
      <c r="H405" s="1280"/>
      <c r="I405" s="1280"/>
      <c r="J405" s="1306"/>
      <c r="K405" s="1307" t="s">
        <v>619</v>
      </c>
      <c r="L405" s="1308"/>
      <c r="M405" s="1308"/>
      <c r="N405" s="1308"/>
      <c r="O405" s="1309"/>
      <c r="P405" s="365"/>
      <c r="Q405" s="400"/>
      <c r="R405" s="355" t="str">
        <f>IF(COUNTBLANK(P405:Q405)=2,"Please enter response.",IF(COUNTBLANK(P405:Q405)&lt;&gt;1,"Please VERIFY response.",""))</f>
        <v>Please enter response.</v>
      </c>
      <c r="S405" s="366" t="str">
        <f>IF(AND(ISBLANK(P405),ISBLANK(Q405)),"",IF(ISBLANK(P405),0,1))</f>
        <v/>
      </c>
      <c r="T405" s="233" t="s">
        <v>589</v>
      </c>
      <c r="U405" s="200"/>
      <c r="V405" s="200"/>
      <c r="W405" s="380"/>
      <c r="X405" s="380"/>
      <c r="Y405" s="380"/>
      <c r="Z405" s="380"/>
      <c r="AA405" s="380"/>
      <c r="AB405" s="380"/>
      <c r="AC405" s="380"/>
      <c r="AD405" s="385"/>
    </row>
    <row r="406" spans="1:30" ht="26.25" customHeight="1" x14ac:dyDescent="0.25">
      <c r="A406" s="1310" t="s">
        <v>620</v>
      </c>
      <c r="B406" s="1311"/>
      <c r="C406" s="1311"/>
      <c r="D406" s="1311"/>
      <c r="E406" s="1311"/>
      <c r="F406" s="1311"/>
      <c r="G406" s="1311"/>
      <c r="H406" s="1311"/>
      <c r="I406" s="1311"/>
      <c r="J406" s="1311"/>
      <c r="K406" s="1311"/>
      <c r="L406" s="1311"/>
      <c r="M406" s="1311"/>
      <c r="N406" s="1311"/>
      <c r="O406" s="1311"/>
      <c r="P406" s="1311"/>
      <c r="Q406" s="1312"/>
      <c r="R406" s="534" t="s">
        <v>752</v>
      </c>
      <c r="S406" s="377"/>
      <c r="T406" s="368"/>
      <c r="U406" s="368"/>
      <c r="V406" s="368"/>
      <c r="W406" s="380"/>
      <c r="X406" s="380"/>
      <c r="Y406" s="380"/>
      <c r="Z406" s="380"/>
      <c r="AA406" s="388"/>
      <c r="AB406" s="388"/>
      <c r="AC406" s="388"/>
      <c r="AD406" s="385"/>
    </row>
    <row r="407" spans="1:30" ht="26.25" customHeight="1" x14ac:dyDescent="0.25">
      <c r="A407" s="1313" t="s">
        <v>621</v>
      </c>
      <c r="B407" s="1314"/>
      <c r="C407" s="1314"/>
      <c r="D407" s="1314"/>
      <c r="E407" s="1314" t="s">
        <v>622</v>
      </c>
      <c r="F407" s="1314"/>
      <c r="G407" s="1314"/>
      <c r="H407" s="1314"/>
      <c r="I407" s="1314" t="s">
        <v>623</v>
      </c>
      <c r="J407" s="1314"/>
      <c r="K407" s="1314"/>
      <c r="L407" s="1314"/>
      <c r="M407" s="1315" t="s">
        <v>624</v>
      </c>
      <c r="N407" s="1314"/>
      <c r="O407" s="1314"/>
      <c r="P407" s="1314"/>
      <c r="Q407" s="1316"/>
      <c r="R407" s="534" t="s">
        <v>752</v>
      </c>
      <c r="S407" s="1298" t="s">
        <v>625</v>
      </c>
      <c r="T407" s="1298"/>
      <c r="U407" s="1298"/>
      <c r="V407" s="1298"/>
      <c r="W407" s="380"/>
      <c r="X407" s="198"/>
      <c r="Y407" s="198"/>
      <c r="Z407" s="198"/>
      <c r="AA407" s="378"/>
      <c r="AB407" s="378"/>
      <c r="AC407" s="378"/>
      <c r="AD407" s="385"/>
    </row>
    <row r="408" spans="1:30" ht="26.25" customHeight="1" thickBot="1" x14ac:dyDescent="0.25">
      <c r="A408" s="1299"/>
      <c r="B408" s="848"/>
      <c r="C408" s="848"/>
      <c r="D408" s="848"/>
      <c r="E408" s="848"/>
      <c r="F408" s="848"/>
      <c r="G408" s="848"/>
      <c r="H408" s="848"/>
      <c r="I408" s="848"/>
      <c r="J408" s="848"/>
      <c r="K408" s="848"/>
      <c r="L408" s="848"/>
      <c r="M408" s="1300"/>
      <c r="N408" s="1300"/>
      <c r="O408" s="1300"/>
      <c r="P408" s="1300"/>
      <c r="Q408" s="1301"/>
      <c r="R408" s="531" t="s">
        <v>752</v>
      </c>
      <c r="S408" s="381" t="str">
        <f>IF(ISBLANK(A408),"",VLOOKUP(A408,VProjType,2,FALSE))</f>
        <v/>
      </c>
      <c r="T408" s="381" t="str">
        <f>IF(ISBLANK(E408),"",VLOOKUP(E408,VSubtype1,2,FALSE))</f>
        <v/>
      </c>
      <c r="U408" s="381" t="str">
        <f>IF(ISBLANK(I408),"",VLOOKUP(I408,VSubtype2,2,FALSE))</f>
        <v/>
      </c>
      <c r="V408" s="381" t="str">
        <f>IF(ISBLANK(M408),"",VLOOKUP(M408,VSubtype3,2,FALSE))</f>
        <v/>
      </c>
      <c r="W408" s="380"/>
      <c r="X408" s="378"/>
      <c r="Y408" s="378"/>
      <c r="Z408" s="378"/>
      <c r="AA408" s="380"/>
      <c r="AB408" s="380"/>
      <c r="AC408" s="380"/>
      <c r="AD408" s="198"/>
    </row>
    <row r="409" spans="1:30" ht="26.25" customHeight="1" x14ac:dyDescent="0.25">
      <c r="A409" s="1302" t="s">
        <v>627</v>
      </c>
      <c r="B409" s="1303"/>
      <c r="C409" s="1303"/>
      <c r="D409" s="1303"/>
      <c r="E409" s="1303"/>
      <c r="F409" s="1303"/>
      <c r="G409" s="1303"/>
      <c r="H409" s="1303"/>
      <c r="I409" s="1303"/>
      <c r="J409" s="1303"/>
      <c r="K409" s="1303"/>
      <c r="L409" s="1303"/>
      <c r="M409" s="1303"/>
      <c r="N409" s="1303"/>
      <c r="O409" s="1303"/>
      <c r="P409" s="1303"/>
      <c r="Q409" s="1304"/>
      <c r="R409" s="531" t="s">
        <v>752</v>
      </c>
      <c r="S409" s="382" t="s">
        <v>628</v>
      </c>
      <c r="T409" s="378"/>
      <c r="U409" s="378"/>
      <c r="V409" s="378"/>
      <c r="W409" s="380"/>
      <c r="X409" s="380"/>
      <c r="Y409" s="380"/>
      <c r="Z409" s="380"/>
      <c r="AA409" s="380"/>
      <c r="AB409" s="380"/>
      <c r="AC409" s="380"/>
      <c r="AD409" s="385"/>
    </row>
    <row r="410" spans="1:30" ht="26.25" customHeight="1" x14ac:dyDescent="0.25">
      <c r="A410" s="1269" t="s">
        <v>629</v>
      </c>
      <c r="B410" s="1270"/>
      <c r="C410" s="1270"/>
      <c r="D410" s="1270"/>
      <c r="E410" s="1270"/>
      <c r="F410" s="1270"/>
      <c r="G410" s="1270"/>
      <c r="H410" s="1270"/>
      <c r="I410" s="1270"/>
      <c r="J410" s="1270"/>
      <c r="K410" s="1270"/>
      <c r="L410" s="1271"/>
      <c r="M410" s="1272"/>
      <c r="N410" s="1273"/>
      <c r="O410" s="1273"/>
      <c r="P410" s="1273"/>
      <c r="Q410" s="1274"/>
      <c r="R410" s="531" t="s">
        <v>752</v>
      </c>
      <c r="S410" s="383" t="str">
        <f>IF(ISBLANK(M410),"",VLOOKUP(M410,VRemote,2,FALSE))</f>
        <v/>
      </c>
      <c r="T410" s="384" t="s">
        <v>630</v>
      </c>
      <c r="U410" s="378"/>
      <c r="V410" s="378"/>
      <c r="W410" s="380"/>
      <c r="X410" s="380"/>
      <c r="Y410" s="380"/>
      <c r="Z410" s="380"/>
      <c r="AA410" s="380"/>
      <c r="AB410" s="380"/>
      <c r="AC410" s="380"/>
      <c r="AD410" s="385"/>
    </row>
    <row r="411" spans="1:30" ht="26.25" customHeight="1" x14ac:dyDescent="0.2">
      <c r="A411" s="1269" t="s">
        <v>631</v>
      </c>
      <c r="B411" s="1270"/>
      <c r="C411" s="1270"/>
      <c r="D411" s="1270"/>
      <c r="E411" s="1270"/>
      <c r="F411" s="1270"/>
      <c r="G411" s="1270"/>
      <c r="H411" s="1270"/>
      <c r="I411" s="1270"/>
      <c r="J411" s="1270"/>
      <c r="K411" s="1270"/>
      <c r="L411" s="1270"/>
      <c r="M411" s="1272"/>
      <c r="N411" s="1273"/>
      <c r="O411" s="1273"/>
      <c r="P411" s="1273"/>
      <c r="Q411" s="1274"/>
      <c r="R411" s="531" t="s">
        <v>752</v>
      </c>
      <c r="S411" s="383" t="str">
        <f>IF(ISBLANK(M411),"",VLOOKUP(M411,VCapacity,2,FALSE))</f>
        <v/>
      </c>
      <c r="T411" s="151" t="s">
        <v>632</v>
      </c>
      <c r="U411" s="380"/>
      <c r="V411" s="380"/>
      <c r="W411" s="198"/>
      <c r="X411" s="380"/>
      <c r="Y411" s="380"/>
      <c r="Z411" s="380"/>
      <c r="AA411" s="380"/>
      <c r="AB411" s="380"/>
      <c r="AC411" s="380"/>
      <c r="AD411" s="198"/>
    </row>
    <row r="412" spans="1:30" ht="26.25" customHeight="1" x14ac:dyDescent="0.2">
      <c r="A412" s="1269" t="s">
        <v>633</v>
      </c>
      <c r="B412" s="1270"/>
      <c r="C412" s="1270"/>
      <c r="D412" s="1270"/>
      <c r="E412" s="1270"/>
      <c r="F412" s="1270"/>
      <c r="G412" s="1270"/>
      <c r="H412" s="1270"/>
      <c r="I412" s="1270"/>
      <c r="J412" s="1270"/>
      <c r="K412" s="1270"/>
      <c r="L412" s="1270"/>
      <c r="M412" s="1272"/>
      <c r="N412" s="1273"/>
      <c r="O412" s="1273"/>
      <c r="P412" s="1273"/>
      <c r="Q412" s="1274"/>
      <c r="R412" s="531" t="s">
        <v>752</v>
      </c>
      <c r="S412" s="383" t="str">
        <f>IF(ISBLANK(M412),"",VLOOKUP(M412,VPriorCap,2,FALSE))</f>
        <v/>
      </c>
      <c r="T412" s="151" t="s">
        <v>634</v>
      </c>
      <c r="U412" s="380"/>
      <c r="V412" s="380"/>
      <c r="W412" s="378"/>
      <c r="X412" s="380"/>
      <c r="Y412" s="380"/>
      <c r="Z412" s="380"/>
      <c r="AA412" s="380"/>
      <c r="AB412" s="380"/>
      <c r="AC412" s="380"/>
      <c r="AD412" s="198"/>
    </row>
    <row r="413" spans="1:30" ht="26.25" customHeight="1" x14ac:dyDescent="0.2">
      <c r="A413" s="1286" t="s">
        <v>636</v>
      </c>
      <c r="B413" s="1287"/>
      <c r="C413" s="1287"/>
      <c r="D413" s="1287"/>
      <c r="E413" s="1287"/>
      <c r="F413" s="1287"/>
      <c r="G413" s="1287"/>
      <c r="H413" s="1287"/>
      <c r="I413" s="1287"/>
      <c r="J413" s="1287"/>
      <c r="K413" s="1287"/>
      <c r="L413" s="1287"/>
      <c r="M413" s="1287"/>
      <c r="N413" s="1287"/>
      <c r="O413" s="1287"/>
      <c r="P413" s="1287"/>
      <c r="Q413" s="1288"/>
      <c r="R413" s="531" t="s">
        <v>752</v>
      </c>
      <c r="S413" s="386" t="str">
        <f>IF(ISBLANK(A414),"",A414)</f>
        <v/>
      </c>
      <c r="T413" s="151" t="s">
        <v>583</v>
      </c>
      <c r="U413" s="380"/>
      <c r="V413" s="380"/>
      <c r="W413" s="380"/>
      <c r="X413" s="380"/>
      <c r="Y413" s="380"/>
      <c r="Z413" s="380"/>
      <c r="AA413" s="380"/>
      <c r="AB413" s="380"/>
      <c r="AC413" s="380"/>
      <c r="AD413" s="198"/>
    </row>
    <row r="414" spans="1:30" ht="26.25" customHeight="1" x14ac:dyDescent="0.2">
      <c r="A414" s="1278"/>
      <c r="B414" s="1255"/>
      <c r="C414" s="1255"/>
      <c r="D414" s="1255"/>
      <c r="E414" s="1255"/>
      <c r="F414" s="1255"/>
      <c r="G414" s="1255"/>
      <c r="H414" s="1255"/>
      <c r="I414" s="1255"/>
      <c r="J414" s="1255"/>
      <c r="K414" s="1255"/>
      <c r="L414" s="1255"/>
      <c r="M414" s="1255"/>
      <c r="N414" s="1255"/>
      <c r="O414" s="1255"/>
      <c r="P414" s="1255"/>
      <c r="Q414" s="1285"/>
      <c r="R414" s="531" t="s">
        <v>752</v>
      </c>
      <c r="S414" s="380"/>
      <c r="T414" s="380"/>
      <c r="U414" s="380"/>
      <c r="V414" s="380"/>
      <c r="W414" s="380"/>
      <c r="X414" s="380"/>
      <c r="Y414" s="380"/>
      <c r="Z414" s="380"/>
      <c r="AA414" s="380"/>
      <c r="AB414" s="380"/>
      <c r="AC414" s="380"/>
      <c r="AD414" s="198"/>
    </row>
    <row r="415" spans="1:30" ht="26.25" customHeight="1" x14ac:dyDescent="0.2">
      <c r="A415" s="1289"/>
      <c r="B415" s="1290"/>
      <c r="C415" s="1290"/>
      <c r="D415" s="1290"/>
      <c r="E415" s="1290"/>
      <c r="F415" s="1290"/>
      <c r="G415" s="1290"/>
      <c r="H415" s="1290"/>
      <c r="I415" s="1290"/>
      <c r="J415" s="1290"/>
      <c r="K415" s="1290"/>
      <c r="L415" s="1290"/>
      <c r="M415" s="1290"/>
      <c r="N415" s="1290"/>
      <c r="O415" s="1290"/>
      <c r="P415" s="1290"/>
      <c r="Q415" s="1291"/>
      <c r="R415" s="531" t="s">
        <v>752</v>
      </c>
      <c r="S415" s="380"/>
      <c r="T415" s="380"/>
      <c r="U415" s="380"/>
      <c r="V415" s="380"/>
      <c r="W415" s="380"/>
      <c r="X415" s="380"/>
      <c r="Y415" s="380"/>
      <c r="Z415" s="380"/>
      <c r="AA415" s="380"/>
      <c r="AB415" s="380"/>
      <c r="AC415" s="380"/>
      <c r="AD415" s="198"/>
    </row>
    <row r="416" spans="1:30" ht="26.25" customHeight="1" x14ac:dyDescent="0.2">
      <c r="A416" s="1292" t="s">
        <v>638</v>
      </c>
      <c r="B416" s="1293"/>
      <c r="C416" s="1293"/>
      <c r="D416" s="1293"/>
      <c r="E416" s="1293"/>
      <c r="F416" s="1293"/>
      <c r="G416" s="1293"/>
      <c r="H416" s="1293"/>
      <c r="I416" s="1293"/>
      <c r="J416" s="1293"/>
      <c r="K416" s="1293"/>
      <c r="L416" s="1293"/>
      <c r="M416" s="1293"/>
      <c r="N416" s="1293"/>
      <c r="O416" s="1293"/>
      <c r="P416" s="1293"/>
      <c r="Q416" s="1294"/>
      <c r="R416" s="534" t="s">
        <v>752</v>
      </c>
      <c r="S416" s="382"/>
      <c r="T416" s="382"/>
      <c r="U416" s="382"/>
      <c r="V416" s="382"/>
      <c r="W416" s="380"/>
      <c r="X416" s="380"/>
      <c r="Y416" s="380"/>
      <c r="Z416" s="380"/>
      <c r="AA416" s="380"/>
      <c r="AB416" s="380"/>
      <c r="AC416" s="380"/>
      <c r="AD416" s="198"/>
    </row>
    <row r="417" spans="1:30" ht="26.25" customHeight="1" x14ac:dyDescent="0.2">
      <c r="A417" s="1278"/>
      <c r="B417" s="1255"/>
      <c r="C417" s="1255"/>
      <c r="D417" s="1255"/>
      <c r="E417" s="1255"/>
      <c r="F417" s="1255"/>
      <c r="G417" s="1255"/>
      <c r="H417" s="1255"/>
      <c r="I417" s="1255"/>
      <c r="J417" s="1255"/>
      <c r="K417" s="1255"/>
      <c r="L417" s="1255"/>
      <c r="M417" s="1255"/>
      <c r="N417" s="1255"/>
      <c r="O417" s="1255"/>
      <c r="P417" s="1255"/>
      <c r="Q417" s="1256"/>
      <c r="R417" s="534" t="s">
        <v>752</v>
      </c>
      <c r="S417" s="386" t="str">
        <f>IF(ISBLANK(A417),"",A417)</f>
        <v/>
      </c>
      <c r="T417" s="354" t="s">
        <v>194</v>
      </c>
      <c r="U417" s="380"/>
      <c r="V417" s="380"/>
      <c r="W417" s="380"/>
      <c r="X417" s="380"/>
      <c r="Y417" s="380"/>
      <c r="Z417" s="380"/>
      <c r="AA417" s="198"/>
      <c r="AB417" s="198"/>
      <c r="AC417" s="198"/>
      <c r="AD417" s="198"/>
    </row>
    <row r="418" spans="1:30" ht="26.25" customHeight="1" thickBot="1" x14ac:dyDescent="0.25">
      <c r="A418" s="1266"/>
      <c r="B418" s="1267"/>
      <c r="C418" s="1267"/>
      <c r="D418" s="1267"/>
      <c r="E418" s="1267"/>
      <c r="F418" s="1267"/>
      <c r="G418" s="1267"/>
      <c r="H418" s="1267"/>
      <c r="I418" s="1267"/>
      <c r="J418" s="1267"/>
      <c r="K418" s="1267"/>
      <c r="L418" s="1267"/>
      <c r="M418" s="1267"/>
      <c r="N418" s="1267"/>
      <c r="O418" s="1267"/>
      <c r="P418" s="1267"/>
      <c r="Q418" s="1268"/>
      <c r="R418" s="531" t="s">
        <v>752</v>
      </c>
      <c r="S418" s="380"/>
      <c r="T418" s="354"/>
      <c r="U418" s="380"/>
      <c r="V418" s="380"/>
      <c r="W418" s="380"/>
      <c r="X418" s="388"/>
      <c r="Y418" s="388"/>
      <c r="Z418" s="388"/>
      <c r="AA418" s="382"/>
      <c r="AB418" s="382"/>
      <c r="AC418" s="382"/>
      <c r="AD418" s="198"/>
    </row>
    <row r="419" spans="1:30" ht="26.25" customHeight="1" x14ac:dyDescent="0.2">
      <c r="A419" s="1260" t="s">
        <v>640</v>
      </c>
      <c r="B419" s="1261"/>
      <c r="C419" s="1261"/>
      <c r="D419" s="1261"/>
      <c r="E419" s="1261"/>
      <c r="F419" s="1261"/>
      <c r="G419" s="1261"/>
      <c r="H419" s="1261"/>
      <c r="I419" s="1261"/>
      <c r="J419" s="1261"/>
      <c r="K419" s="1261"/>
      <c r="L419" s="1261"/>
      <c r="M419" s="1261"/>
      <c r="N419" s="1261"/>
      <c r="O419" s="1261"/>
      <c r="P419" s="1261"/>
      <c r="Q419" s="1262"/>
      <c r="R419" s="531" t="s">
        <v>752</v>
      </c>
      <c r="S419" s="382" t="s">
        <v>641</v>
      </c>
      <c r="T419" s="378"/>
      <c r="U419" s="378"/>
      <c r="V419" s="378"/>
      <c r="W419" s="380"/>
      <c r="X419" s="394"/>
      <c r="Y419" s="394"/>
      <c r="Z419" s="394"/>
      <c r="AA419" s="380"/>
      <c r="AB419" s="380"/>
      <c r="AC419" s="380"/>
      <c r="AD419" s="198"/>
    </row>
    <row r="420" spans="1:30" ht="26.25" customHeight="1" x14ac:dyDescent="0.2">
      <c r="A420" s="1295" t="s">
        <v>642</v>
      </c>
      <c r="B420" s="1296"/>
      <c r="C420" s="1296"/>
      <c r="D420" s="1296"/>
      <c r="E420" s="1296"/>
      <c r="F420" s="1296"/>
      <c r="G420" s="1296"/>
      <c r="H420" s="1296"/>
      <c r="I420" s="1296"/>
      <c r="J420" s="1296"/>
      <c r="K420" s="1296"/>
      <c r="L420" s="1297"/>
      <c r="M420" s="1272"/>
      <c r="N420" s="1273"/>
      <c r="O420" s="1273"/>
      <c r="P420" s="1273"/>
      <c r="Q420" s="1274"/>
      <c r="R420" s="531" t="s">
        <v>752</v>
      </c>
      <c r="S420" s="387" t="str">
        <f>IF(ISBLANK(M420),"",VLOOKUP(M420,VImpact,2,FALSE))</f>
        <v/>
      </c>
      <c r="T420" s="151" t="s">
        <v>643</v>
      </c>
      <c r="U420" s="380"/>
      <c r="V420" s="380"/>
      <c r="W420" s="380"/>
      <c r="X420" s="198"/>
      <c r="Y420" s="198"/>
      <c r="Z420" s="198"/>
      <c r="AA420" s="380"/>
      <c r="AB420" s="380"/>
      <c r="AC420" s="380"/>
      <c r="AD420" s="198"/>
    </row>
    <row r="421" spans="1:30" ht="26.25" customHeight="1" x14ac:dyDescent="0.2">
      <c r="A421" s="1269" t="s">
        <v>644</v>
      </c>
      <c r="B421" s="1270"/>
      <c r="C421" s="1270"/>
      <c r="D421" s="1270"/>
      <c r="E421" s="1270"/>
      <c r="F421" s="1270"/>
      <c r="G421" s="1270"/>
      <c r="H421" s="1270"/>
      <c r="I421" s="1270"/>
      <c r="J421" s="1270"/>
      <c r="K421" s="1270"/>
      <c r="L421" s="1271"/>
      <c r="M421" s="1272"/>
      <c r="N421" s="1273"/>
      <c r="O421" s="1273"/>
      <c r="P421" s="1273"/>
      <c r="Q421" s="1274"/>
      <c r="R421" s="531" t="s">
        <v>752</v>
      </c>
      <c r="S421" s="387" t="str">
        <f>IF(ISBLANK(M421),"",VLOOKUP(M421,VEvidence,2,FALSE))</f>
        <v/>
      </c>
      <c r="T421" s="233" t="s">
        <v>645</v>
      </c>
      <c r="U421" s="380"/>
      <c r="V421" s="380"/>
      <c r="W421" s="380"/>
      <c r="X421" s="198"/>
      <c r="Y421" s="198"/>
      <c r="Z421" s="198"/>
      <c r="AA421" s="380"/>
      <c r="AB421" s="380"/>
      <c r="AC421" s="380"/>
      <c r="AD421" s="198"/>
    </row>
    <row r="422" spans="1:30" ht="26.25" customHeight="1" x14ac:dyDescent="0.2">
      <c r="A422" s="1275" t="s">
        <v>646</v>
      </c>
      <c r="B422" s="1276"/>
      <c r="C422" s="1276"/>
      <c r="D422" s="1276"/>
      <c r="E422" s="1276"/>
      <c r="F422" s="1276"/>
      <c r="G422" s="1276"/>
      <c r="H422" s="1276"/>
      <c r="I422" s="1276"/>
      <c r="J422" s="1276"/>
      <c r="K422" s="1276"/>
      <c r="L422" s="1276"/>
      <c r="M422" s="1276"/>
      <c r="N422" s="1276"/>
      <c r="O422" s="1276"/>
      <c r="P422" s="1276"/>
      <c r="Q422" s="1277"/>
      <c r="R422" s="531" t="s">
        <v>752</v>
      </c>
      <c r="S422" s="386" t="str">
        <f>IF(ISBLANK(A423),"",A423)</f>
        <v/>
      </c>
      <c r="T422" s="354" t="s">
        <v>193</v>
      </c>
      <c r="U422" s="380"/>
      <c r="V422" s="380"/>
      <c r="W422" s="388"/>
      <c r="X422" s="198"/>
      <c r="Y422" s="198"/>
      <c r="Z422" s="198"/>
      <c r="AA422" s="380"/>
      <c r="AB422" s="380"/>
      <c r="AC422" s="380"/>
      <c r="AD422" s="198"/>
    </row>
    <row r="423" spans="1:30" ht="26.25" customHeight="1" x14ac:dyDescent="0.2">
      <c r="A423" s="1278"/>
      <c r="B423" s="1255"/>
      <c r="C423" s="1255"/>
      <c r="D423" s="1255"/>
      <c r="E423" s="1255"/>
      <c r="F423" s="1255"/>
      <c r="G423" s="1255"/>
      <c r="H423" s="1255"/>
      <c r="I423" s="1255"/>
      <c r="J423" s="1255"/>
      <c r="K423" s="1255"/>
      <c r="L423" s="1255"/>
      <c r="M423" s="1255"/>
      <c r="N423" s="1255"/>
      <c r="O423" s="1255"/>
      <c r="P423" s="1255"/>
      <c r="Q423" s="1256"/>
      <c r="R423" s="531" t="s">
        <v>752</v>
      </c>
      <c r="S423" s="380"/>
      <c r="T423" s="389"/>
      <c r="U423" s="380"/>
      <c r="V423" s="380"/>
      <c r="W423" s="394"/>
      <c r="X423" s="198"/>
      <c r="Y423" s="198"/>
      <c r="Z423" s="198"/>
      <c r="AA423" s="380"/>
      <c r="AB423" s="380"/>
      <c r="AC423" s="380"/>
      <c r="AD423" s="198"/>
    </row>
    <row r="424" spans="1:30" ht="26.25" customHeight="1" x14ac:dyDescent="0.2">
      <c r="A424" s="1279"/>
      <c r="B424" s="1280"/>
      <c r="C424" s="1280"/>
      <c r="D424" s="1280"/>
      <c r="E424" s="1280"/>
      <c r="F424" s="1280"/>
      <c r="G424" s="1280"/>
      <c r="H424" s="1280"/>
      <c r="I424" s="1280"/>
      <c r="J424" s="1280"/>
      <c r="K424" s="1280"/>
      <c r="L424" s="1280"/>
      <c r="M424" s="1280"/>
      <c r="N424" s="1280"/>
      <c r="O424" s="1280"/>
      <c r="P424" s="1280"/>
      <c r="Q424" s="1281"/>
      <c r="R424" s="531" t="s">
        <v>752</v>
      </c>
      <c r="S424" s="380"/>
      <c r="T424" s="389"/>
      <c r="U424" s="380"/>
      <c r="V424" s="380"/>
      <c r="W424" s="198"/>
      <c r="X424" s="198"/>
      <c r="Y424" s="198"/>
      <c r="Z424" s="198"/>
      <c r="AA424" s="380"/>
      <c r="AB424" s="380"/>
      <c r="AC424" s="380"/>
      <c r="AD424" s="198"/>
    </row>
    <row r="425" spans="1:30" ht="26.25" customHeight="1" x14ac:dyDescent="0.2">
      <c r="A425" s="1282" t="s">
        <v>647</v>
      </c>
      <c r="B425" s="1283"/>
      <c r="C425" s="1283"/>
      <c r="D425" s="1283"/>
      <c r="E425" s="1283"/>
      <c r="F425" s="1283"/>
      <c r="G425" s="1283"/>
      <c r="H425" s="1283"/>
      <c r="I425" s="1283"/>
      <c r="J425" s="1283"/>
      <c r="K425" s="1283"/>
      <c r="L425" s="1283"/>
      <c r="M425" s="1283"/>
      <c r="N425" s="1283"/>
      <c r="O425" s="1283"/>
      <c r="P425" s="1283"/>
      <c r="Q425" s="1284"/>
      <c r="R425" s="531" t="s">
        <v>752</v>
      </c>
      <c r="S425" s="386" t="str">
        <f>IF(ISBLANK(A426),"",A426)</f>
        <v/>
      </c>
      <c r="T425" s="389" t="s">
        <v>584</v>
      </c>
      <c r="U425" s="380"/>
      <c r="V425" s="380"/>
      <c r="W425" s="198"/>
      <c r="X425" s="349"/>
      <c r="Y425" s="349"/>
      <c r="Z425" s="349"/>
      <c r="AA425" s="380"/>
      <c r="AB425" s="380"/>
      <c r="AC425" s="380"/>
      <c r="AD425" s="198"/>
    </row>
    <row r="426" spans="1:30" ht="26.25" customHeight="1" x14ac:dyDescent="0.2">
      <c r="A426" s="1278"/>
      <c r="B426" s="1255"/>
      <c r="C426" s="1255"/>
      <c r="D426" s="1255"/>
      <c r="E426" s="1255"/>
      <c r="F426" s="1255"/>
      <c r="G426" s="1255"/>
      <c r="H426" s="1255"/>
      <c r="I426" s="1255"/>
      <c r="J426" s="1255"/>
      <c r="K426" s="1255"/>
      <c r="L426" s="1255"/>
      <c r="M426" s="1255"/>
      <c r="N426" s="1255"/>
      <c r="O426" s="1255"/>
      <c r="P426" s="1255"/>
      <c r="Q426" s="1285"/>
      <c r="R426" s="534" t="s">
        <v>752</v>
      </c>
      <c r="U426" s="380"/>
      <c r="V426" s="380"/>
      <c r="W426" s="198"/>
      <c r="X426" s="198"/>
      <c r="Y426" s="198"/>
      <c r="Z426" s="198"/>
      <c r="AA426" s="380"/>
      <c r="AB426" s="380"/>
      <c r="AC426" s="380"/>
      <c r="AD426" s="198"/>
    </row>
    <row r="427" spans="1:30" ht="26.25" customHeight="1" thickBot="1" x14ac:dyDescent="0.25">
      <c r="A427" s="1257"/>
      <c r="B427" s="1258"/>
      <c r="C427" s="1258"/>
      <c r="D427" s="1258"/>
      <c r="E427" s="1258"/>
      <c r="F427" s="1258"/>
      <c r="G427" s="1258"/>
      <c r="H427" s="1258"/>
      <c r="I427" s="1258"/>
      <c r="J427" s="1258"/>
      <c r="K427" s="1258"/>
      <c r="L427" s="1258"/>
      <c r="M427" s="1258"/>
      <c r="N427" s="1258"/>
      <c r="O427" s="1258"/>
      <c r="P427" s="1258"/>
      <c r="Q427" s="1259"/>
      <c r="R427" s="534" t="s">
        <v>752</v>
      </c>
      <c r="S427" s="380"/>
      <c r="T427" s="380"/>
      <c r="U427" s="380"/>
      <c r="V427" s="380"/>
      <c r="W427" s="198"/>
      <c r="X427" s="198"/>
      <c r="Y427" s="198"/>
      <c r="Z427" s="198"/>
      <c r="AA427" s="380"/>
      <c r="AB427" s="380"/>
      <c r="AC427" s="380"/>
      <c r="AD427" s="198"/>
    </row>
    <row r="428" spans="1:30" ht="26.25" customHeight="1" x14ac:dyDescent="0.2">
      <c r="A428" s="1251" t="s">
        <v>649</v>
      </c>
      <c r="B428" s="1252"/>
      <c r="C428" s="1252"/>
      <c r="D428" s="1252"/>
      <c r="E428" s="1252"/>
      <c r="F428" s="1252"/>
      <c r="G428" s="1252"/>
      <c r="H428" s="1252"/>
      <c r="I428" s="1252"/>
      <c r="J428" s="1252"/>
      <c r="K428" s="1252"/>
      <c r="L428" s="1252"/>
      <c r="M428" s="1252"/>
      <c r="N428" s="1252"/>
      <c r="O428" s="1252"/>
      <c r="P428" s="1252"/>
      <c r="Q428" s="1253"/>
      <c r="R428" s="531" t="s">
        <v>752</v>
      </c>
      <c r="S428" s="392" t="str">
        <f>IF(ISBLANK(A429),"",A429)</f>
        <v/>
      </c>
      <c r="T428" s="393" t="s">
        <v>650</v>
      </c>
      <c r="W428" s="198"/>
      <c r="X428" s="198"/>
      <c r="Y428" s="198"/>
      <c r="Z428" s="198"/>
      <c r="AA428" s="198"/>
      <c r="AB428" s="198"/>
      <c r="AC428" s="198"/>
      <c r="AD428" s="198"/>
    </row>
    <row r="429" spans="1:30" ht="26.25" customHeight="1" x14ac:dyDescent="0.2">
      <c r="A429" s="1254"/>
      <c r="B429" s="1255"/>
      <c r="C429" s="1255"/>
      <c r="D429" s="1255"/>
      <c r="E429" s="1255"/>
      <c r="F429" s="1255"/>
      <c r="G429" s="1255"/>
      <c r="H429" s="1255"/>
      <c r="I429" s="1255"/>
      <c r="J429" s="1255"/>
      <c r="K429" s="1255"/>
      <c r="L429" s="1255"/>
      <c r="M429" s="1255"/>
      <c r="N429" s="1255"/>
      <c r="O429" s="1255"/>
      <c r="P429" s="1255"/>
      <c r="Q429" s="1256"/>
      <c r="R429" s="531" t="s">
        <v>752</v>
      </c>
      <c r="W429" s="349"/>
      <c r="X429" s="349"/>
      <c r="Y429" s="349"/>
      <c r="Z429" s="349"/>
      <c r="AA429" s="378"/>
      <c r="AB429" s="378"/>
      <c r="AC429" s="378"/>
      <c r="AD429" s="198"/>
    </row>
    <row r="430" spans="1:30" ht="26.25" customHeight="1" thickBot="1" x14ac:dyDescent="0.25">
      <c r="A430" s="1257"/>
      <c r="B430" s="1258"/>
      <c r="C430" s="1258"/>
      <c r="D430" s="1258"/>
      <c r="E430" s="1258"/>
      <c r="F430" s="1258"/>
      <c r="G430" s="1258"/>
      <c r="H430" s="1258"/>
      <c r="I430" s="1258"/>
      <c r="J430" s="1258"/>
      <c r="K430" s="1258"/>
      <c r="L430" s="1258"/>
      <c r="M430" s="1258"/>
      <c r="N430" s="1258"/>
      <c r="O430" s="1258"/>
      <c r="P430" s="1258"/>
      <c r="Q430" s="1259"/>
      <c r="R430" s="531" t="s">
        <v>752</v>
      </c>
      <c r="S430" s="352"/>
      <c r="T430" s="352"/>
      <c r="U430" s="352"/>
      <c r="V430" s="352"/>
      <c r="W430" s="198"/>
      <c r="X430" s="380"/>
      <c r="Y430" s="380"/>
      <c r="Z430" s="380"/>
      <c r="AA430" s="380"/>
      <c r="AB430" s="380"/>
      <c r="AC430" s="380"/>
      <c r="AD430" s="198"/>
    </row>
    <row r="431" spans="1:30" ht="26.25" customHeight="1" x14ac:dyDescent="0.2">
      <c r="A431" s="1260" t="s">
        <v>651</v>
      </c>
      <c r="B431" s="1261"/>
      <c r="C431" s="1261"/>
      <c r="D431" s="1261"/>
      <c r="E431" s="1261"/>
      <c r="F431" s="1261"/>
      <c r="G431" s="1261"/>
      <c r="H431" s="1261"/>
      <c r="I431" s="1261"/>
      <c r="J431" s="1261"/>
      <c r="K431" s="1261"/>
      <c r="L431" s="1261"/>
      <c r="M431" s="1261"/>
      <c r="N431" s="1261"/>
      <c r="O431" s="1261"/>
      <c r="P431" s="1261"/>
      <c r="Q431" s="1262"/>
      <c r="R431" s="531" t="s">
        <v>752</v>
      </c>
      <c r="S431" s="395"/>
      <c r="T431" s="396"/>
      <c r="U431" s="390"/>
      <c r="V431" s="390"/>
      <c r="W431" s="198"/>
      <c r="X431" s="380"/>
      <c r="Y431" s="380"/>
      <c r="Z431" s="380"/>
      <c r="AA431" s="380"/>
      <c r="AB431" s="380"/>
      <c r="AC431" s="380"/>
      <c r="AD431" s="198"/>
    </row>
    <row r="432" spans="1:30" ht="26.25" customHeight="1" x14ac:dyDescent="0.2">
      <c r="A432" s="1263"/>
      <c r="B432" s="1264"/>
      <c r="C432" s="1264"/>
      <c r="D432" s="1264"/>
      <c r="E432" s="1264"/>
      <c r="F432" s="1264"/>
      <c r="G432" s="1264"/>
      <c r="H432" s="1264"/>
      <c r="I432" s="1264"/>
      <c r="J432" s="1264"/>
      <c r="K432" s="1264"/>
      <c r="L432" s="1264"/>
      <c r="M432" s="1264"/>
      <c r="N432" s="1264"/>
      <c r="O432" s="1264"/>
      <c r="P432" s="1264"/>
      <c r="Q432" s="1265"/>
      <c r="R432" s="531" t="s">
        <v>752</v>
      </c>
      <c r="S432" s="397" t="str">
        <f>IF(ISBLANK(A432),"",CONCATENATE(S431,A432))</f>
        <v/>
      </c>
      <c r="T432" s="354" t="s">
        <v>195</v>
      </c>
      <c r="U432" s="183"/>
      <c r="V432" s="183"/>
      <c r="W432" s="198"/>
      <c r="X432" s="380"/>
      <c r="Y432" s="380"/>
      <c r="Z432" s="380"/>
      <c r="AA432" s="380"/>
      <c r="AB432" s="380"/>
      <c r="AC432" s="380"/>
      <c r="AD432" s="198"/>
    </row>
    <row r="433" spans="1:38" ht="26.25" customHeight="1" thickBot="1" x14ac:dyDescent="0.25">
      <c r="A433" s="1266"/>
      <c r="B433" s="1267"/>
      <c r="C433" s="1267"/>
      <c r="D433" s="1267"/>
      <c r="E433" s="1267"/>
      <c r="F433" s="1267"/>
      <c r="G433" s="1267"/>
      <c r="H433" s="1267"/>
      <c r="I433" s="1267"/>
      <c r="J433" s="1267"/>
      <c r="K433" s="1267"/>
      <c r="L433" s="1267"/>
      <c r="M433" s="1267"/>
      <c r="N433" s="1267"/>
      <c r="O433" s="1267"/>
      <c r="P433" s="1267"/>
      <c r="Q433" s="1268"/>
      <c r="R433" s="531" t="s">
        <v>752</v>
      </c>
      <c r="S433" s="198"/>
      <c r="T433" s="198"/>
      <c r="U433" s="198"/>
      <c r="V433" s="198"/>
      <c r="W433" s="349"/>
      <c r="X433" s="380"/>
      <c r="Y433" s="380"/>
      <c r="Z433" s="380"/>
      <c r="AA433" s="380"/>
      <c r="AB433" s="380"/>
      <c r="AC433" s="380"/>
      <c r="AD433" s="198"/>
    </row>
    <row r="434" spans="1:38" ht="26.25" customHeight="1" thickBot="1" x14ac:dyDescent="0.25">
      <c r="A434" s="1369" t="e">
        <f>$A$1</f>
        <v>#N/A</v>
      </c>
      <c r="B434" s="1369"/>
      <c r="C434" s="1369"/>
      <c r="D434" s="1369"/>
      <c r="E434" s="1369"/>
      <c r="F434" s="1369"/>
      <c r="G434" s="1369"/>
      <c r="H434" s="1369"/>
      <c r="I434" s="1369"/>
      <c r="J434" s="1369"/>
      <c r="K434" s="1369"/>
      <c r="L434" s="1369"/>
      <c r="M434" s="1369"/>
      <c r="N434" s="1369"/>
      <c r="O434" s="1369"/>
      <c r="P434" s="1369"/>
      <c r="Q434" s="1369"/>
      <c r="R434" s="531" t="s">
        <v>752</v>
      </c>
      <c r="S434" s="388"/>
      <c r="T434" s="388"/>
      <c r="U434" s="388"/>
      <c r="V434" s="388"/>
      <c r="W434" s="380"/>
      <c r="X434" s="380"/>
      <c r="Y434" s="380"/>
      <c r="Z434" s="380"/>
      <c r="AA434" s="380"/>
      <c r="AB434" s="380"/>
      <c r="AC434" s="380"/>
      <c r="AD434" s="198"/>
    </row>
    <row r="435" spans="1:38" ht="26.25" customHeight="1" thickBot="1" x14ac:dyDescent="0.25">
      <c r="A435" s="1364" t="s">
        <v>635</v>
      </c>
      <c r="B435" s="1365"/>
      <c r="C435" s="1365"/>
      <c r="D435" s="1365"/>
      <c r="E435" s="1365"/>
      <c r="F435" s="1365"/>
      <c r="G435" s="1365"/>
      <c r="H435" s="1365"/>
      <c r="I435" s="1365"/>
      <c r="J435" s="1365"/>
      <c r="K435" s="1365"/>
      <c r="L435" s="1365"/>
      <c r="M435" s="1365"/>
      <c r="N435" s="1366" t="str">
        <f>$N$5</f>
        <v>2024 Report Year</v>
      </c>
      <c r="O435" s="1367"/>
      <c r="P435" s="1367"/>
      <c r="Q435" s="1368"/>
      <c r="R435" s="534" t="s">
        <v>752</v>
      </c>
      <c r="S435" s="394"/>
      <c r="T435" s="394"/>
      <c r="U435" s="394"/>
      <c r="V435" s="394"/>
      <c r="W435" s="380"/>
      <c r="X435" s="380"/>
      <c r="Y435" s="380"/>
      <c r="Z435" s="380"/>
      <c r="AA435" s="380"/>
      <c r="AB435" s="380"/>
      <c r="AC435" s="380"/>
      <c r="AD435" s="198"/>
    </row>
    <row r="436" spans="1:38" ht="26.25" customHeight="1" x14ac:dyDescent="0.2">
      <c r="A436" s="1351" t="str">
        <f>IF(AND(OR(ISNA(cap_exp_contact),TRIM(cap_exp_contact)=""),NOT(ISBLANK(code_7594))),"The Capital Expenditure Contact information has NOT been provided.  Please complete this information now.","")</f>
        <v/>
      </c>
      <c r="B436" s="1352"/>
      <c r="C436" s="1352"/>
      <c r="D436" s="1352"/>
      <c r="E436" s="1352"/>
      <c r="F436" s="1352"/>
      <c r="G436" s="1352"/>
      <c r="H436" s="1352"/>
      <c r="I436" s="1352"/>
      <c r="J436" s="1352"/>
      <c r="K436" s="1352"/>
      <c r="L436" s="1352"/>
      <c r="M436" s="1352"/>
      <c r="N436" s="343" t="s">
        <v>602</v>
      </c>
      <c r="O436" s="344" t="e">
        <f>$O$6</f>
        <v>#N/A</v>
      </c>
      <c r="P436" s="345" t="s">
        <v>603</v>
      </c>
      <c r="Q436" s="346" t="e">
        <f>IF(ISBLANK(Q393),"",Q393+1)</f>
        <v>#VALUE!</v>
      </c>
      <c r="R436" s="534" t="s">
        <v>752</v>
      </c>
      <c r="S436" s="198"/>
      <c r="T436" s="198"/>
      <c r="U436" s="198"/>
      <c r="V436" s="198"/>
      <c r="W436" s="380"/>
      <c r="X436" s="380"/>
      <c r="Y436" s="380"/>
      <c r="Z436" s="380"/>
      <c r="AA436" s="380"/>
      <c r="AB436" s="380"/>
      <c r="AC436" s="380"/>
      <c r="AD436" s="198"/>
    </row>
    <row r="437" spans="1:38" ht="26.25" customHeight="1" thickBot="1" x14ac:dyDescent="0.25">
      <c r="A437" s="1353" t="s">
        <v>197</v>
      </c>
      <c r="B437" s="1354"/>
      <c r="C437" s="1354"/>
      <c r="D437" s="1354"/>
      <c r="E437" s="1355"/>
      <c r="F437" s="1356"/>
      <c r="G437" s="1356"/>
      <c r="H437" s="1356"/>
      <c r="I437" s="1356"/>
      <c r="J437" s="1356"/>
      <c r="K437" s="1356"/>
      <c r="L437" s="1357"/>
      <c r="M437" s="550" t="s">
        <v>752</v>
      </c>
      <c r="N437" s="1358" t="s">
        <v>604</v>
      </c>
      <c r="O437" s="1359"/>
      <c r="P437" s="1359"/>
      <c r="Q437" s="1360"/>
      <c r="R437" s="531" t="s">
        <v>752</v>
      </c>
      <c r="S437" s="348" t="str">
        <f>IF(ISBLANK(E437),"",E437)</f>
        <v/>
      </c>
      <c r="T437" s="143" t="s">
        <v>495</v>
      </c>
      <c r="U437" s="280"/>
      <c r="V437" s="280"/>
      <c r="W437" s="380"/>
      <c r="X437" s="380"/>
      <c r="Y437" s="380"/>
      <c r="Z437" s="380"/>
      <c r="AA437" s="380"/>
      <c r="AB437" s="380"/>
      <c r="AC437" s="380"/>
      <c r="AD437" s="198"/>
    </row>
    <row r="438" spans="1:38" ht="26.25" customHeight="1" x14ac:dyDescent="0.2">
      <c r="A438" s="1361" t="s">
        <v>605</v>
      </c>
      <c r="B438" s="1362"/>
      <c r="C438" s="1362"/>
      <c r="D438" s="1363"/>
      <c r="E438" s="1339"/>
      <c r="F438" s="1340"/>
      <c r="G438" s="1340"/>
      <c r="H438" s="1340"/>
      <c r="I438" s="1340"/>
      <c r="J438" s="1340"/>
      <c r="K438" s="1340"/>
      <c r="L438" s="1341"/>
      <c r="M438" s="1342" t="str">
        <f>IF(AND(ISBLANK(E438),OR(NOT(ISBLANK(E439)),NOT(ISBLANK(E440)),NOT(ISBLANK(E441)),NOT(ISBLANK(I442)),NOT(ISBLANK(A444)))),"This information is required.","")</f>
        <v/>
      </c>
      <c r="N438" s="1343"/>
      <c r="O438" s="1343"/>
      <c r="P438" s="1343"/>
      <c r="Q438" s="551" t="s">
        <v>752</v>
      </c>
      <c r="R438" s="531" t="s">
        <v>752</v>
      </c>
      <c r="S438" s="348" t="str">
        <f>IF(ISBLANK(E438),"",E438)</f>
        <v/>
      </c>
      <c r="T438" s="143" t="s">
        <v>185</v>
      </c>
      <c r="U438" s="280"/>
      <c r="V438" s="280"/>
      <c r="W438" s="380"/>
      <c r="X438" s="380"/>
      <c r="Y438" s="380"/>
      <c r="Z438" s="380"/>
      <c r="AA438" s="380"/>
      <c r="AB438" s="380"/>
      <c r="AC438" s="380"/>
      <c r="AD438" s="198"/>
    </row>
    <row r="439" spans="1:38" ht="26.25" customHeight="1" x14ac:dyDescent="0.2">
      <c r="A439" s="1325" t="s">
        <v>606</v>
      </c>
      <c r="B439" s="1326"/>
      <c r="C439" s="1326"/>
      <c r="D439" s="1327"/>
      <c r="E439" s="1339"/>
      <c r="F439" s="1340"/>
      <c r="G439" s="1340"/>
      <c r="H439" s="1340"/>
      <c r="I439" s="1340"/>
      <c r="J439" s="1340"/>
      <c r="K439" s="1340"/>
      <c r="L439" s="1341"/>
      <c r="M439" s="1342" t="str">
        <f>IF(AND(ISBLANK(E439),OR(NOT(ISBLANK(E438)),NOT(ISBLANK(E440)),NOT(ISBLANK(E441)),NOT(ISBLANK(I442)),NOT(ISBLANK(A444)))),"This information is required.","")</f>
        <v/>
      </c>
      <c r="N439" s="1343"/>
      <c r="O439" s="1343"/>
      <c r="P439" s="1343"/>
      <c r="Q439" s="551" t="s">
        <v>752</v>
      </c>
      <c r="R439" s="531" t="s">
        <v>752</v>
      </c>
      <c r="S439" s="348" t="str">
        <f>IF(ISBLANK(E439),"",E439)</f>
        <v/>
      </c>
      <c r="T439" s="143" t="s">
        <v>186</v>
      </c>
      <c r="U439" s="280"/>
      <c r="V439" s="280"/>
      <c r="W439" s="380"/>
      <c r="X439" s="198"/>
      <c r="Y439" s="198"/>
      <c r="Z439" s="198"/>
      <c r="AA439" s="388"/>
      <c r="AB439" s="388"/>
      <c r="AC439" s="388"/>
      <c r="AD439" s="352"/>
    </row>
    <row r="440" spans="1:38" ht="26.25" customHeight="1" x14ac:dyDescent="0.2">
      <c r="A440" s="1344" t="s">
        <v>607</v>
      </c>
      <c r="B440" s="1345"/>
      <c r="C440" s="1345"/>
      <c r="D440" s="1346"/>
      <c r="E440" s="1347"/>
      <c r="F440" s="1348"/>
      <c r="G440" s="1349" t="s">
        <v>608</v>
      </c>
      <c r="H440" s="1349"/>
      <c r="I440" s="1349"/>
      <c r="J440" s="1349"/>
      <c r="K440" s="1349"/>
      <c r="L440" s="1349"/>
      <c r="M440" s="1350" t="str">
        <f>IF(AND(ISBLANK(E440),OR(NOT(ISBLANK(E438)),NOT(ISBLANK(E439)),NOT(ISBLANK(E441)),NOT(ISBLANK(I442)),NOT(ISBLANK(A444)))),"This information is required.","")</f>
        <v/>
      </c>
      <c r="N440" s="1202"/>
      <c r="O440" s="1202"/>
      <c r="P440" s="1202"/>
      <c r="Q440" s="532" t="s">
        <v>752</v>
      </c>
      <c r="R440" s="531" t="s">
        <v>752</v>
      </c>
      <c r="S440" s="350" t="str">
        <f>IF(ISBLANK(E440),"",E440)</f>
        <v/>
      </c>
      <c r="T440" s="351" t="s">
        <v>188</v>
      </c>
      <c r="U440" s="349"/>
      <c r="V440" s="349"/>
      <c r="W440" s="380"/>
      <c r="X440" s="378"/>
      <c r="Y440" s="378"/>
      <c r="Z440" s="378"/>
      <c r="AA440" s="394"/>
      <c r="AB440" s="394"/>
      <c r="AC440" s="394"/>
      <c r="AD440" s="352"/>
    </row>
    <row r="441" spans="1:38" ht="26.25" customHeight="1" x14ac:dyDescent="0.2">
      <c r="A441" s="1325" t="s">
        <v>609</v>
      </c>
      <c r="B441" s="1326"/>
      <c r="C441" s="1326"/>
      <c r="D441" s="1327"/>
      <c r="E441" s="1328"/>
      <c r="F441" s="1329"/>
      <c r="G441" s="1337" t="s">
        <v>752</v>
      </c>
      <c r="H441" s="1338"/>
      <c r="I441" s="1338"/>
      <c r="J441" s="1338"/>
      <c r="K441" s="1338"/>
      <c r="L441" s="1338"/>
      <c r="M441" s="1202" t="str">
        <f>IF(AND(ISBLANK(E441),OR(NOT(ISBLANK(E438)),NOT(ISBLANK(E439)),NOT(ISBLANK(E440)),NOT(ISBLANK(I442)),NOT(ISBLANK(A444)))),"This information is required.","")</f>
        <v/>
      </c>
      <c r="N441" s="1202"/>
      <c r="O441" s="1202"/>
      <c r="P441" s="1202"/>
      <c r="Q441" s="532" t="s">
        <v>752</v>
      </c>
      <c r="R441" s="531" t="s">
        <v>752</v>
      </c>
      <c r="S441" s="353" t="str">
        <f>IF(ISBLANK(E441),"",E441)</f>
        <v/>
      </c>
      <c r="T441" s="354" t="s">
        <v>189</v>
      </c>
      <c r="U441" s="318"/>
      <c r="V441" s="318"/>
      <c r="W441" s="380"/>
      <c r="X441" s="380"/>
      <c r="Y441" s="380"/>
      <c r="Z441" s="380"/>
      <c r="AA441" s="198"/>
      <c r="AB441" s="198"/>
      <c r="AC441" s="198"/>
      <c r="AD441" s="352"/>
      <c r="AL441" s="200"/>
    </row>
    <row r="442" spans="1:38" ht="26.25" customHeight="1" thickBot="1" x14ac:dyDescent="0.25">
      <c r="A442" s="1330" t="s">
        <v>610</v>
      </c>
      <c r="B442" s="1331"/>
      <c r="C442" s="1331"/>
      <c r="D442" s="1331"/>
      <c r="E442" s="1332"/>
      <c r="F442" s="1332"/>
      <c r="G442" s="1332"/>
      <c r="H442" s="1332"/>
      <c r="I442" s="1333"/>
      <c r="J442" s="1333"/>
      <c r="K442" s="1334" t="s">
        <v>611</v>
      </c>
      <c r="L442" s="1335"/>
      <c r="M442" s="1336" t="str">
        <f>IF(AND(ISBLANK(I442),OR(NOT(ISBLANK(E438)),NOT(ISBLANK(E439)),NOT(ISBLANK(E440)),NOT(ISBLANK(E441)),NOT(ISBLANK(A444)))),"This information is required!","")</f>
        <v/>
      </c>
      <c r="N442" s="1336"/>
      <c r="O442" s="1336"/>
      <c r="P442" s="1336"/>
      <c r="Q442" s="553" t="s">
        <v>752</v>
      </c>
      <c r="R442" s="531" t="s">
        <v>752</v>
      </c>
      <c r="S442" s="353" t="str">
        <f>IF(ISBLANK(I442),"",I442)</f>
        <v/>
      </c>
      <c r="T442" s="354" t="s">
        <v>190</v>
      </c>
      <c r="U442" s="355"/>
      <c r="V442" s="355"/>
      <c r="W442" s="380"/>
      <c r="X442" s="380"/>
      <c r="Y442" s="380"/>
      <c r="Z442" s="380"/>
      <c r="AA442" s="198"/>
      <c r="AB442" s="198"/>
      <c r="AC442" s="198"/>
      <c r="AD442" s="352"/>
      <c r="AL442" s="200"/>
    </row>
    <row r="443" spans="1:38" ht="26.25" customHeight="1" x14ac:dyDescent="0.2">
      <c r="A443" s="1251" t="s">
        <v>613</v>
      </c>
      <c r="B443" s="1252"/>
      <c r="C443" s="1252"/>
      <c r="D443" s="1252"/>
      <c r="E443" s="1252"/>
      <c r="F443" s="1252"/>
      <c r="G443" s="1252"/>
      <c r="H443" s="1252"/>
      <c r="I443" s="1252"/>
      <c r="J443" s="1317"/>
      <c r="K443" s="1318" t="s">
        <v>679</v>
      </c>
      <c r="L443" s="1318"/>
      <c r="M443" s="1318"/>
      <c r="N443" s="1318"/>
      <c r="O443" s="1320" t="s">
        <v>614</v>
      </c>
      <c r="P443" s="1320"/>
      <c r="Q443" s="1321"/>
      <c r="R443" s="531" t="s">
        <v>752</v>
      </c>
      <c r="S443" s="353" t="str">
        <f>IF(ISBLANK(A444),"",A444)</f>
        <v/>
      </c>
      <c r="T443" s="354" t="s">
        <v>191</v>
      </c>
      <c r="U443" s="357"/>
      <c r="V443" s="357"/>
      <c r="W443" s="198"/>
      <c r="X443" s="380"/>
      <c r="Y443" s="380"/>
      <c r="Z443" s="380"/>
      <c r="AA443" s="198"/>
      <c r="AB443" s="198"/>
      <c r="AC443" s="198"/>
      <c r="AD443" s="198"/>
      <c r="AL443" s="124"/>
    </row>
    <row r="444" spans="1:38" ht="26.25" customHeight="1" x14ac:dyDescent="0.2">
      <c r="A444" s="1263"/>
      <c r="B444" s="1264"/>
      <c r="C444" s="1264"/>
      <c r="D444" s="1264"/>
      <c r="E444" s="1264"/>
      <c r="F444" s="1264"/>
      <c r="G444" s="1264"/>
      <c r="H444" s="1264"/>
      <c r="I444" s="1264"/>
      <c r="J444" s="1305"/>
      <c r="K444" s="1319"/>
      <c r="L444" s="1319"/>
      <c r="M444" s="1319"/>
      <c r="N444" s="1319"/>
      <c r="O444" s="555" t="s">
        <v>752</v>
      </c>
      <c r="P444" s="214" t="s">
        <v>265</v>
      </c>
      <c r="Q444" s="358" t="s">
        <v>266</v>
      </c>
      <c r="R444" s="531" t="s">
        <v>752</v>
      </c>
      <c r="S444" s="353" t="str">
        <f>IF(ISBLANK(A447),"",A447)</f>
        <v/>
      </c>
      <c r="T444" s="359" t="s">
        <v>192</v>
      </c>
      <c r="U444" s="357"/>
      <c r="V444" s="357"/>
      <c r="W444" s="378"/>
      <c r="X444" s="380"/>
      <c r="Y444" s="380"/>
      <c r="Z444" s="380"/>
      <c r="AA444" s="198"/>
      <c r="AB444" s="198"/>
      <c r="AC444" s="198"/>
      <c r="AD444" s="198"/>
      <c r="AL444" s="124"/>
    </row>
    <row r="445" spans="1:38" ht="26.25" customHeight="1" x14ac:dyDescent="0.2">
      <c r="A445" s="1279"/>
      <c r="B445" s="1280"/>
      <c r="C445" s="1280"/>
      <c r="D445" s="1280"/>
      <c r="E445" s="1280"/>
      <c r="F445" s="1280"/>
      <c r="G445" s="1280"/>
      <c r="H445" s="1280"/>
      <c r="I445" s="1280"/>
      <c r="J445" s="1306"/>
      <c r="K445" s="1307" t="s">
        <v>615</v>
      </c>
      <c r="L445" s="1308"/>
      <c r="M445" s="1308"/>
      <c r="N445" s="1308"/>
      <c r="O445" s="1309"/>
      <c r="P445" s="365"/>
      <c r="Q445" s="400"/>
      <c r="R445" s="355" t="str">
        <f>IF(COUNTBLANK(P445:Q445)=2,"Please enter response.",IF(COUNTBLANK(P445:Q445)&lt;&gt;1,"Please VERIFY response.",""))</f>
        <v>Please enter response.</v>
      </c>
      <c r="S445" s="366" t="str">
        <f>IF(AND(ISBLANK(P445),ISBLANK(Q445)),"",IF(ISBLANK(P445),0,1))</f>
        <v/>
      </c>
      <c r="T445" s="233" t="s">
        <v>586</v>
      </c>
      <c r="U445" s="200"/>
      <c r="V445" s="200"/>
      <c r="W445" s="380"/>
      <c r="X445" s="380"/>
      <c r="Y445" s="380"/>
      <c r="Z445" s="380"/>
      <c r="AA445" s="198"/>
      <c r="AB445" s="198"/>
      <c r="AC445" s="198"/>
      <c r="AD445" s="198"/>
      <c r="AL445" s="124"/>
    </row>
    <row r="446" spans="1:38" ht="26.25" customHeight="1" x14ac:dyDescent="0.2">
      <c r="A446" s="1322" t="s">
        <v>616</v>
      </c>
      <c r="B446" s="1323"/>
      <c r="C446" s="1323"/>
      <c r="D446" s="1323"/>
      <c r="E446" s="1323"/>
      <c r="F446" s="1323"/>
      <c r="G446" s="1323"/>
      <c r="H446" s="1323"/>
      <c r="I446" s="1323"/>
      <c r="J446" s="1324"/>
      <c r="K446" s="1307" t="s">
        <v>617</v>
      </c>
      <c r="L446" s="1308"/>
      <c r="M446" s="1308"/>
      <c r="N446" s="1308"/>
      <c r="O446" s="1309"/>
      <c r="P446" s="365"/>
      <c r="Q446" s="400"/>
      <c r="R446" s="355" t="str">
        <f>IF(COUNTBLANK(P446:Q446)=2,"Please enter response.",IF(COUNTBLANK(P446:Q446)&lt;&gt;1,"Please VERIFY response.",""))</f>
        <v>Please enter response.</v>
      </c>
      <c r="S446" s="366" t="str">
        <f>IF(AND(ISBLANK(P446),ISBLANK(Q446)),"",IF(ISBLANK(P446),0,1))</f>
        <v/>
      </c>
      <c r="T446" s="233" t="s">
        <v>587</v>
      </c>
      <c r="U446" s="200"/>
      <c r="V446" s="200"/>
      <c r="W446" s="380"/>
      <c r="X446" s="380"/>
      <c r="Y446" s="380"/>
      <c r="Z446" s="380"/>
      <c r="AA446" s="349"/>
      <c r="AB446" s="349"/>
      <c r="AC446" s="349"/>
      <c r="AD446" s="399"/>
      <c r="AL446" s="124"/>
    </row>
    <row r="447" spans="1:38" ht="26.25" customHeight="1" x14ac:dyDescent="0.2">
      <c r="A447" s="1263"/>
      <c r="B447" s="1264"/>
      <c r="C447" s="1264"/>
      <c r="D447" s="1264"/>
      <c r="E447" s="1264"/>
      <c r="F447" s="1264"/>
      <c r="G447" s="1264"/>
      <c r="H447" s="1264"/>
      <c r="I447" s="1264"/>
      <c r="J447" s="1305"/>
      <c r="K447" s="1307" t="s">
        <v>618</v>
      </c>
      <c r="L447" s="1308"/>
      <c r="M447" s="1308"/>
      <c r="N447" s="1308"/>
      <c r="O447" s="1309"/>
      <c r="P447" s="365"/>
      <c r="Q447" s="400"/>
      <c r="R447" s="355" t="str">
        <f>IF(COUNTBLANK(P447:Q447)=2,"Please enter response.",IF(COUNTBLANK(P447:Q447)&lt;&gt;1,"Please VERIFY response.",""))</f>
        <v>Please enter response.</v>
      </c>
      <c r="S447" s="366" t="str">
        <f>IF(AND(ISBLANK(P447),ISBLANK(Q447)),"",IF(ISBLANK(P447),0,1))</f>
        <v/>
      </c>
      <c r="T447" s="233" t="s">
        <v>588</v>
      </c>
      <c r="U447" s="200"/>
      <c r="V447" s="200"/>
      <c r="W447" s="380"/>
      <c r="X447" s="380"/>
      <c r="Y447" s="380"/>
      <c r="Z447" s="380"/>
      <c r="AA447" s="198"/>
      <c r="AB447" s="198"/>
      <c r="AC447" s="198"/>
      <c r="AD447" s="198"/>
      <c r="AL447" s="124"/>
    </row>
    <row r="448" spans="1:38" ht="26.25" customHeight="1" x14ac:dyDescent="0.2">
      <c r="A448" s="1279"/>
      <c r="B448" s="1280"/>
      <c r="C448" s="1280"/>
      <c r="D448" s="1280"/>
      <c r="E448" s="1280"/>
      <c r="F448" s="1280"/>
      <c r="G448" s="1280"/>
      <c r="H448" s="1280"/>
      <c r="I448" s="1280"/>
      <c r="J448" s="1306"/>
      <c r="K448" s="1307" t="s">
        <v>619</v>
      </c>
      <c r="L448" s="1308"/>
      <c r="M448" s="1308"/>
      <c r="N448" s="1308"/>
      <c r="O448" s="1309"/>
      <c r="P448" s="365"/>
      <c r="Q448" s="400"/>
      <c r="R448" s="355" t="str">
        <f>IF(COUNTBLANK(P448:Q448)=2,"Please enter response.",IF(COUNTBLANK(P448:Q448)&lt;&gt;1,"Please VERIFY response.",""))</f>
        <v>Please enter response.</v>
      </c>
      <c r="S448" s="366" t="str">
        <f>IF(AND(ISBLANK(P448),ISBLANK(Q448)),"",IF(ISBLANK(P448),0,1))</f>
        <v/>
      </c>
      <c r="T448" s="233" t="s">
        <v>589</v>
      </c>
      <c r="U448" s="200"/>
      <c r="V448" s="200"/>
      <c r="W448" s="380"/>
      <c r="X448" s="380"/>
      <c r="Y448" s="380"/>
      <c r="Z448" s="380"/>
      <c r="AA448" s="198"/>
      <c r="AB448" s="198"/>
      <c r="AC448" s="198"/>
      <c r="AD448" s="198"/>
      <c r="AL448" s="124"/>
    </row>
    <row r="449" spans="1:38" ht="26.25" customHeight="1" x14ac:dyDescent="0.2">
      <c r="A449" s="1310" t="s">
        <v>620</v>
      </c>
      <c r="B449" s="1311"/>
      <c r="C449" s="1311"/>
      <c r="D449" s="1311"/>
      <c r="E449" s="1311"/>
      <c r="F449" s="1311"/>
      <c r="G449" s="1311"/>
      <c r="H449" s="1311"/>
      <c r="I449" s="1311"/>
      <c r="J449" s="1311"/>
      <c r="K449" s="1311"/>
      <c r="L449" s="1311"/>
      <c r="M449" s="1311"/>
      <c r="N449" s="1311"/>
      <c r="O449" s="1311"/>
      <c r="P449" s="1311"/>
      <c r="Q449" s="1312"/>
      <c r="R449" s="534" t="s">
        <v>752</v>
      </c>
      <c r="S449" s="377"/>
      <c r="T449" s="368"/>
      <c r="U449" s="368"/>
      <c r="V449" s="368"/>
      <c r="W449" s="380"/>
      <c r="X449" s="380"/>
      <c r="Y449" s="380"/>
      <c r="Z449" s="380"/>
      <c r="AA449" s="198"/>
      <c r="AB449" s="198"/>
      <c r="AC449" s="198"/>
      <c r="AD449" s="352"/>
      <c r="AL449" s="124"/>
    </row>
    <row r="450" spans="1:38" ht="26.25" customHeight="1" x14ac:dyDescent="0.25">
      <c r="A450" s="1313" t="s">
        <v>621</v>
      </c>
      <c r="B450" s="1314"/>
      <c r="C450" s="1314"/>
      <c r="D450" s="1314"/>
      <c r="E450" s="1314" t="s">
        <v>622</v>
      </c>
      <c r="F450" s="1314"/>
      <c r="G450" s="1314"/>
      <c r="H450" s="1314"/>
      <c r="I450" s="1314" t="s">
        <v>623</v>
      </c>
      <c r="J450" s="1314"/>
      <c r="K450" s="1314"/>
      <c r="L450" s="1314"/>
      <c r="M450" s="1315" t="s">
        <v>624</v>
      </c>
      <c r="N450" s="1314"/>
      <c r="O450" s="1314"/>
      <c r="P450" s="1314"/>
      <c r="Q450" s="1316"/>
      <c r="R450" s="534" t="s">
        <v>752</v>
      </c>
      <c r="S450" s="1298" t="s">
        <v>625</v>
      </c>
      <c r="T450" s="1298"/>
      <c r="U450" s="1298"/>
      <c r="V450" s="1298"/>
      <c r="W450" s="380"/>
      <c r="X450" s="388"/>
      <c r="Y450" s="388"/>
      <c r="Z450" s="388"/>
      <c r="AA450" s="349"/>
      <c r="AB450" s="349"/>
      <c r="AC450" s="349"/>
      <c r="AD450" s="385"/>
      <c r="AL450" s="124"/>
    </row>
    <row r="451" spans="1:38" ht="26.25" customHeight="1" thickBot="1" x14ac:dyDescent="0.25">
      <c r="A451" s="1299"/>
      <c r="B451" s="848"/>
      <c r="C451" s="848"/>
      <c r="D451" s="848"/>
      <c r="E451" s="848"/>
      <c r="F451" s="848"/>
      <c r="G451" s="848"/>
      <c r="H451" s="848"/>
      <c r="I451" s="848"/>
      <c r="J451" s="848"/>
      <c r="K451" s="848"/>
      <c r="L451" s="848"/>
      <c r="M451" s="1300"/>
      <c r="N451" s="1300"/>
      <c r="O451" s="1300"/>
      <c r="P451" s="1300"/>
      <c r="Q451" s="1301"/>
      <c r="R451" s="531" t="s">
        <v>752</v>
      </c>
      <c r="S451" s="381" t="str">
        <f>IF(ISBLANK(A451),"",VLOOKUP(A451,VProjType,2,FALSE))</f>
        <v/>
      </c>
      <c r="T451" s="381" t="str">
        <f>IF(ISBLANK(E451),"",VLOOKUP(E451,VSubtype1,2,FALSE))</f>
        <v/>
      </c>
      <c r="U451" s="381" t="str">
        <f>IF(ISBLANK(I451),"",VLOOKUP(I451,VSubtype2,2,FALSE))</f>
        <v/>
      </c>
      <c r="V451" s="381" t="str">
        <f>IF(ISBLANK(M451),"",VLOOKUP(M451,VSubtype3,2,FALSE))</f>
        <v/>
      </c>
      <c r="W451" s="380"/>
      <c r="X451" s="378"/>
      <c r="Y451" s="378"/>
      <c r="Z451" s="378"/>
      <c r="AA451" s="380"/>
      <c r="AB451" s="380"/>
      <c r="AC451" s="380"/>
      <c r="AD451" s="198"/>
      <c r="AL451" s="124"/>
    </row>
    <row r="452" spans="1:38" ht="26.25" customHeight="1" x14ac:dyDescent="0.25">
      <c r="A452" s="1302" t="s">
        <v>627</v>
      </c>
      <c r="B452" s="1303"/>
      <c r="C452" s="1303"/>
      <c r="D452" s="1303"/>
      <c r="E452" s="1303"/>
      <c r="F452" s="1303"/>
      <c r="G452" s="1303"/>
      <c r="H452" s="1303"/>
      <c r="I452" s="1303"/>
      <c r="J452" s="1303"/>
      <c r="K452" s="1303"/>
      <c r="L452" s="1303"/>
      <c r="M452" s="1303"/>
      <c r="N452" s="1303"/>
      <c r="O452" s="1303"/>
      <c r="P452" s="1303"/>
      <c r="Q452" s="1304"/>
      <c r="R452" s="531" t="s">
        <v>752</v>
      </c>
      <c r="S452" s="382" t="s">
        <v>628</v>
      </c>
      <c r="T452" s="378"/>
      <c r="U452" s="378"/>
      <c r="V452" s="378"/>
      <c r="W452" s="380"/>
      <c r="X452" s="380"/>
      <c r="Y452" s="380"/>
      <c r="Z452" s="380"/>
      <c r="AA452" s="380"/>
      <c r="AB452" s="380"/>
      <c r="AC452" s="380"/>
      <c r="AD452" s="385"/>
      <c r="AL452" s="200"/>
    </row>
    <row r="453" spans="1:38" ht="26.25" customHeight="1" x14ac:dyDescent="0.25">
      <c r="A453" s="1269" t="s">
        <v>629</v>
      </c>
      <c r="B453" s="1270"/>
      <c r="C453" s="1270"/>
      <c r="D453" s="1270"/>
      <c r="E453" s="1270"/>
      <c r="F453" s="1270"/>
      <c r="G453" s="1270"/>
      <c r="H453" s="1270"/>
      <c r="I453" s="1270"/>
      <c r="J453" s="1270"/>
      <c r="K453" s="1270"/>
      <c r="L453" s="1271"/>
      <c r="M453" s="1272"/>
      <c r="N453" s="1273"/>
      <c r="O453" s="1273"/>
      <c r="P453" s="1273"/>
      <c r="Q453" s="1274"/>
      <c r="R453" s="531" t="s">
        <v>752</v>
      </c>
      <c r="S453" s="383" t="str">
        <f>IF(ISBLANK(M453),"",VLOOKUP(M453,VRemote,2,FALSE))</f>
        <v/>
      </c>
      <c r="T453" s="384" t="s">
        <v>630</v>
      </c>
      <c r="U453" s="378"/>
      <c r="V453" s="378"/>
      <c r="W453" s="380"/>
      <c r="X453" s="380"/>
      <c r="Y453" s="380"/>
      <c r="Z453" s="380"/>
      <c r="AA453" s="380"/>
      <c r="AB453" s="380"/>
      <c r="AC453" s="380"/>
      <c r="AD453" s="385"/>
    </row>
    <row r="454" spans="1:38" ht="26.25" customHeight="1" x14ac:dyDescent="0.25">
      <c r="A454" s="1269" t="s">
        <v>631</v>
      </c>
      <c r="B454" s="1270"/>
      <c r="C454" s="1270"/>
      <c r="D454" s="1270"/>
      <c r="E454" s="1270"/>
      <c r="F454" s="1270"/>
      <c r="G454" s="1270"/>
      <c r="H454" s="1270"/>
      <c r="I454" s="1270"/>
      <c r="J454" s="1270"/>
      <c r="K454" s="1270"/>
      <c r="L454" s="1270"/>
      <c r="M454" s="1272"/>
      <c r="N454" s="1273"/>
      <c r="O454" s="1273"/>
      <c r="P454" s="1273"/>
      <c r="Q454" s="1274"/>
      <c r="R454" s="531" t="s">
        <v>752</v>
      </c>
      <c r="S454" s="383" t="str">
        <f>IF(ISBLANK(M454),"",VLOOKUP(M454,VCapacity,2,FALSE))</f>
        <v/>
      </c>
      <c r="T454" s="151" t="s">
        <v>632</v>
      </c>
      <c r="U454" s="380"/>
      <c r="V454" s="380"/>
      <c r="W454" s="388"/>
      <c r="X454" s="380"/>
      <c r="Y454" s="380"/>
      <c r="Z454" s="380"/>
      <c r="AA454" s="380"/>
      <c r="AB454" s="380"/>
      <c r="AC454" s="380"/>
      <c r="AD454" s="385"/>
    </row>
    <row r="455" spans="1:38" ht="26.25" customHeight="1" x14ac:dyDescent="0.25">
      <c r="A455" s="1269" t="s">
        <v>633</v>
      </c>
      <c r="B455" s="1270"/>
      <c r="C455" s="1270"/>
      <c r="D455" s="1270"/>
      <c r="E455" s="1270"/>
      <c r="F455" s="1270"/>
      <c r="G455" s="1270"/>
      <c r="H455" s="1270"/>
      <c r="I455" s="1270"/>
      <c r="J455" s="1270"/>
      <c r="K455" s="1270"/>
      <c r="L455" s="1270"/>
      <c r="M455" s="1272"/>
      <c r="N455" s="1273"/>
      <c r="O455" s="1273"/>
      <c r="P455" s="1273"/>
      <c r="Q455" s="1274"/>
      <c r="R455" s="531" t="s">
        <v>752</v>
      </c>
      <c r="S455" s="383" t="str">
        <f>IF(ISBLANK(M455),"",VLOOKUP(M455,VPriorCap,2,FALSE))</f>
        <v/>
      </c>
      <c r="T455" s="151" t="s">
        <v>634</v>
      </c>
      <c r="U455" s="380"/>
      <c r="V455" s="380"/>
      <c r="W455" s="378"/>
      <c r="X455" s="380"/>
      <c r="Y455" s="380"/>
      <c r="Z455" s="380"/>
      <c r="AA455" s="380"/>
      <c r="AB455" s="380"/>
      <c r="AC455" s="380"/>
      <c r="AD455" s="385"/>
    </row>
    <row r="456" spans="1:38" ht="26.25" customHeight="1" x14ac:dyDescent="0.25">
      <c r="A456" s="1286" t="s">
        <v>636</v>
      </c>
      <c r="B456" s="1287"/>
      <c r="C456" s="1287"/>
      <c r="D456" s="1287"/>
      <c r="E456" s="1287"/>
      <c r="F456" s="1287"/>
      <c r="G456" s="1287"/>
      <c r="H456" s="1287"/>
      <c r="I456" s="1287"/>
      <c r="J456" s="1287"/>
      <c r="K456" s="1287"/>
      <c r="L456" s="1287"/>
      <c r="M456" s="1287"/>
      <c r="N456" s="1287"/>
      <c r="O456" s="1287"/>
      <c r="P456" s="1287"/>
      <c r="Q456" s="1288"/>
      <c r="R456" s="531" t="s">
        <v>752</v>
      </c>
      <c r="S456" s="386" t="str">
        <f>IF(ISBLANK(A457),"",A457)</f>
        <v/>
      </c>
      <c r="T456" s="151" t="s">
        <v>583</v>
      </c>
      <c r="U456" s="380"/>
      <c r="V456" s="380"/>
      <c r="W456" s="380"/>
      <c r="X456" s="380"/>
      <c r="Y456" s="380"/>
      <c r="Z456" s="380"/>
      <c r="AA456" s="380"/>
      <c r="AB456" s="380"/>
      <c r="AC456" s="380"/>
      <c r="AD456" s="385"/>
    </row>
    <row r="457" spans="1:38" ht="26.25" customHeight="1" x14ac:dyDescent="0.25">
      <c r="A457" s="1278"/>
      <c r="B457" s="1255"/>
      <c r="C457" s="1255"/>
      <c r="D457" s="1255"/>
      <c r="E457" s="1255"/>
      <c r="F457" s="1255"/>
      <c r="G457" s="1255"/>
      <c r="H457" s="1255"/>
      <c r="I457" s="1255"/>
      <c r="J457" s="1255"/>
      <c r="K457" s="1255"/>
      <c r="L457" s="1255"/>
      <c r="M457" s="1255"/>
      <c r="N457" s="1255"/>
      <c r="O457" s="1255"/>
      <c r="P457" s="1255"/>
      <c r="Q457" s="1285"/>
      <c r="R457" s="531" t="s">
        <v>752</v>
      </c>
      <c r="S457" s="380"/>
      <c r="T457" s="380"/>
      <c r="U457" s="380"/>
      <c r="V457" s="380"/>
      <c r="W457" s="380"/>
      <c r="X457" s="380"/>
      <c r="Y457" s="380"/>
      <c r="Z457" s="380"/>
      <c r="AA457" s="380"/>
      <c r="AB457" s="380"/>
      <c r="AC457" s="380"/>
      <c r="AD457" s="385"/>
    </row>
    <row r="458" spans="1:38" ht="25.9" customHeight="1" x14ac:dyDescent="0.25">
      <c r="A458" s="1289"/>
      <c r="B458" s="1290"/>
      <c r="C458" s="1290"/>
      <c r="D458" s="1290"/>
      <c r="E458" s="1290"/>
      <c r="F458" s="1290"/>
      <c r="G458" s="1290"/>
      <c r="H458" s="1290"/>
      <c r="I458" s="1290"/>
      <c r="J458" s="1290"/>
      <c r="K458" s="1290"/>
      <c r="L458" s="1290"/>
      <c r="M458" s="1290"/>
      <c r="N458" s="1290"/>
      <c r="O458" s="1290"/>
      <c r="P458" s="1290"/>
      <c r="Q458" s="1291"/>
      <c r="R458" s="531" t="s">
        <v>752</v>
      </c>
      <c r="S458" s="380"/>
      <c r="T458" s="380"/>
      <c r="U458" s="380"/>
      <c r="V458" s="380"/>
      <c r="W458" s="380"/>
      <c r="X458" s="380"/>
      <c r="Y458" s="380"/>
      <c r="Z458" s="380"/>
      <c r="AA458" s="380"/>
      <c r="AB458" s="380"/>
      <c r="AC458" s="380"/>
      <c r="AD458" s="385"/>
    </row>
    <row r="459" spans="1:38" ht="26.25" customHeight="1" x14ac:dyDescent="0.25">
      <c r="A459" s="1292" t="s">
        <v>638</v>
      </c>
      <c r="B459" s="1293"/>
      <c r="C459" s="1293"/>
      <c r="D459" s="1293"/>
      <c r="E459" s="1293"/>
      <c r="F459" s="1293"/>
      <c r="G459" s="1293"/>
      <c r="H459" s="1293"/>
      <c r="I459" s="1293"/>
      <c r="J459" s="1293"/>
      <c r="K459" s="1293"/>
      <c r="L459" s="1293"/>
      <c r="M459" s="1293"/>
      <c r="N459" s="1293"/>
      <c r="O459" s="1293"/>
      <c r="P459" s="1293"/>
      <c r="Q459" s="1294"/>
      <c r="R459" s="534" t="s">
        <v>752</v>
      </c>
      <c r="S459" s="382"/>
      <c r="T459" s="382"/>
      <c r="U459" s="382"/>
      <c r="V459" s="382"/>
      <c r="W459" s="380"/>
      <c r="X459" s="380"/>
      <c r="Y459" s="380"/>
      <c r="Z459" s="380"/>
      <c r="AA459" s="380"/>
      <c r="AB459" s="380"/>
      <c r="AC459" s="380"/>
      <c r="AD459" s="385"/>
    </row>
    <row r="460" spans="1:38" ht="26.25" customHeight="1" x14ac:dyDescent="0.25">
      <c r="A460" s="1278"/>
      <c r="B460" s="1255"/>
      <c r="C460" s="1255"/>
      <c r="D460" s="1255"/>
      <c r="E460" s="1255"/>
      <c r="F460" s="1255"/>
      <c r="G460" s="1255"/>
      <c r="H460" s="1255"/>
      <c r="I460" s="1255"/>
      <c r="J460" s="1255"/>
      <c r="K460" s="1255"/>
      <c r="L460" s="1255"/>
      <c r="M460" s="1255"/>
      <c r="N460" s="1255"/>
      <c r="O460" s="1255"/>
      <c r="P460" s="1255"/>
      <c r="Q460" s="1256"/>
      <c r="R460" s="534" t="s">
        <v>752</v>
      </c>
      <c r="S460" s="386" t="str">
        <f>IF(ISBLANK(A460),"",A460)</f>
        <v/>
      </c>
      <c r="T460" s="354" t="s">
        <v>194</v>
      </c>
      <c r="U460" s="380"/>
      <c r="V460" s="380"/>
      <c r="W460" s="380"/>
      <c r="X460" s="380"/>
      <c r="Y460" s="380"/>
      <c r="Z460" s="380"/>
      <c r="AA460" s="198"/>
      <c r="AB460" s="198"/>
      <c r="AC460" s="198"/>
      <c r="AD460" s="385"/>
    </row>
    <row r="461" spans="1:38" ht="26.25" customHeight="1" thickBot="1" x14ac:dyDescent="0.3">
      <c r="A461" s="1266"/>
      <c r="B461" s="1267"/>
      <c r="C461" s="1267"/>
      <c r="D461" s="1267"/>
      <c r="E461" s="1267"/>
      <c r="F461" s="1267"/>
      <c r="G461" s="1267"/>
      <c r="H461" s="1267"/>
      <c r="I461" s="1267"/>
      <c r="J461" s="1267"/>
      <c r="K461" s="1267"/>
      <c r="L461" s="1267"/>
      <c r="M461" s="1267"/>
      <c r="N461" s="1267"/>
      <c r="O461" s="1267"/>
      <c r="P461" s="1267"/>
      <c r="Q461" s="1268"/>
      <c r="R461" s="531" t="s">
        <v>752</v>
      </c>
      <c r="S461" s="380"/>
      <c r="T461" s="354"/>
      <c r="U461" s="380"/>
      <c r="V461" s="380"/>
      <c r="W461" s="380"/>
      <c r="X461" s="198"/>
      <c r="Y461" s="198"/>
      <c r="Z461" s="198"/>
      <c r="AA461" s="378"/>
      <c r="AB461" s="378"/>
      <c r="AC461" s="378"/>
      <c r="AD461" s="385"/>
    </row>
    <row r="462" spans="1:38" ht="26.25" customHeight="1" x14ac:dyDescent="0.2">
      <c r="A462" s="1260" t="s">
        <v>640</v>
      </c>
      <c r="B462" s="1261"/>
      <c r="C462" s="1261"/>
      <c r="D462" s="1261"/>
      <c r="E462" s="1261"/>
      <c r="F462" s="1261"/>
      <c r="G462" s="1261"/>
      <c r="H462" s="1261"/>
      <c r="I462" s="1261"/>
      <c r="J462" s="1261"/>
      <c r="K462" s="1261"/>
      <c r="L462" s="1261"/>
      <c r="M462" s="1261"/>
      <c r="N462" s="1261"/>
      <c r="O462" s="1261"/>
      <c r="P462" s="1261"/>
      <c r="Q462" s="1262"/>
      <c r="R462" s="531" t="s">
        <v>752</v>
      </c>
      <c r="S462" s="382" t="s">
        <v>641</v>
      </c>
      <c r="T462" s="378"/>
      <c r="U462" s="378"/>
      <c r="V462" s="378"/>
      <c r="W462" s="380"/>
      <c r="X462" s="382"/>
      <c r="Y462" s="382"/>
      <c r="Z462" s="382"/>
      <c r="AA462" s="380"/>
      <c r="AB462" s="380"/>
      <c r="AC462" s="380"/>
      <c r="AD462" s="198"/>
    </row>
    <row r="463" spans="1:38" ht="26.25" customHeight="1" x14ac:dyDescent="0.25">
      <c r="A463" s="1295" t="s">
        <v>642</v>
      </c>
      <c r="B463" s="1296"/>
      <c r="C463" s="1296"/>
      <c r="D463" s="1296"/>
      <c r="E463" s="1296"/>
      <c r="F463" s="1296"/>
      <c r="G463" s="1296"/>
      <c r="H463" s="1296"/>
      <c r="I463" s="1296"/>
      <c r="J463" s="1296"/>
      <c r="K463" s="1296"/>
      <c r="L463" s="1297"/>
      <c r="M463" s="1272"/>
      <c r="N463" s="1273"/>
      <c r="O463" s="1273"/>
      <c r="P463" s="1273"/>
      <c r="Q463" s="1274"/>
      <c r="R463" s="531" t="s">
        <v>752</v>
      </c>
      <c r="S463" s="387" t="str">
        <f>IF(ISBLANK(M463),"",VLOOKUP(M463,VImpact,2,FALSE))</f>
        <v/>
      </c>
      <c r="T463" s="151" t="s">
        <v>643</v>
      </c>
      <c r="U463" s="380"/>
      <c r="V463" s="380"/>
      <c r="W463" s="380"/>
      <c r="X463" s="380"/>
      <c r="Y463" s="380"/>
      <c r="Z463" s="380"/>
      <c r="AA463" s="380"/>
      <c r="AB463" s="380"/>
      <c r="AC463" s="380"/>
      <c r="AD463" s="385"/>
    </row>
    <row r="464" spans="1:38" ht="26.25" customHeight="1" x14ac:dyDescent="0.25">
      <c r="A464" s="1269" t="s">
        <v>644</v>
      </c>
      <c r="B464" s="1270"/>
      <c r="C464" s="1270"/>
      <c r="D464" s="1270"/>
      <c r="E464" s="1270"/>
      <c r="F464" s="1270"/>
      <c r="G464" s="1270"/>
      <c r="H464" s="1270"/>
      <c r="I464" s="1270"/>
      <c r="J464" s="1270"/>
      <c r="K464" s="1270"/>
      <c r="L464" s="1271"/>
      <c r="M464" s="1272"/>
      <c r="N464" s="1273"/>
      <c r="O464" s="1273"/>
      <c r="P464" s="1273"/>
      <c r="Q464" s="1274"/>
      <c r="R464" s="531" t="s">
        <v>752</v>
      </c>
      <c r="S464" s="387" t="str">
        <f>IF(ISBLANK(M464),"",VLOOKUP(M464,VEvidence,2,FALSE))</f>
        <v/>
      </c>
      <c r="T464" s="233" t="s">
        <v>645</v>
      </c>
      <c r="U464" s="380"/>
      <c r="V464" s="380"/>
      <c r="W464" s="380"/>
      <c r="X464" s="380"/>
      <c r="Y464" s="380"/>
      <c r="Z464" s="380"/>
      <c r="AA464" s="380"/>
      <c r="AB464" s="380"/>
      <c r="AC464" s="380"/>
      <c r="AD464" s="385"/>
    </row>
    <row r="465" spans="1:30" ht="26.25" customHeight="1" x14ac:dyDescent="0.25">
      <c r="A465" s="1275" t="s">
        <v>646</v>
      </c>
      <c r="B465" s="1276"/>
      <c r="C465" s="1276"/>
      <c r="D465" s="1276"/>
      <c r="E465" s="1276"/>
      <c r="F465" s="1276"/>
      <c r="G465" s="1276"/>
      <c r="H465" s="1276"/>
      <c r="I465" s="1276"/>
      <c r="J465" s="1276"/>
      <c r="K465" s="1276"/>
      <c r="L465" s="1276"/>
      <c r="M465" s="1276"/>
      <c r="N465" s="1276"/>
      <c r="O465" s="1276"/>
      <c r="P465" s="1276"/>
      <c r="Q465" s="1277"/>
      <c r="R465" s="531" t="s">
        <v>752</v>
      </c>
      <c r="S465" s="386" t="str">
        <f>IF(ISBLANK(A466),"",A466)</f>
        <v/>
      </c>
      <c r="T465" s="354" t="s">
        <v>193</v>
      </c>
      <c r="U465" s="380"/>
      <c r="V465" s="380"/>
      <c r="W465" s="198"/>
      <c r="X465" s="380"/>
      <c r="Y465" s="380"/>
      <c r="Z465" s="380"/>
      <c r="AA465" s="380"/>
      <c r="AB465" s="380"/>
      <c r="AC465" s="380"/>
      <c r="AD465" s="385"/>
    </row>
    <row r="466" spans="1:30" ht="26.25" customHeight="1" x14ac:dyDescent="0.25">
      <c r="A466" s="1278"/>
      <c r="B466" s="1255"/>
      <c r="C466" s="1255"/>
      <c r="D466" s="1255"/>
      <c r="E466" s="1255"/>
      <c r="F466" s="1255"/>
      <c r="G466" s="1255"/>
      <c r="H466" s="1255"/>
      <c r="I466" s="1255"/>
      <c r="J466" s="1255"/>
      <c r="K466" s="1255"/>
      <c r="L466" s="1255"/>
      <c r="M466" s="1255"/>
      <c r="N466" s="1255"/>
      <c r="O466" s="1255"/>
      <c r="P466" s="1255"/>
      <c r="Q466" s="1256"/>
      <c r="R466" s="531" t="s">
        <v>752</v>
      </c>
      <c r="S466" s="380"/>
      <c r="T466" s="389"/>
      <c r="U466" s="380"/>
      <c r="V466" s="380"/>
      <c r="W466" s="382"/>
      <c r="X466" s="380"/>
      <c r="Y466" s="380"/>
      <c r="Z466" s="380"/>
      <c r="AA466" s="380"/>
      <c r="AB466" s="380"/>
      <c r="AC466" s="380"/>
      <c r="AD466" s="385"/>
    </row>
    <row r="467" spans="1:30" ht="26.25" customHeight="1" x14ac:dyDescent="0.25">
      <c r="A467" s="1279"/>
      <c r="B467" s="1280"/>
      <c r="C467" s="1280"/>
      <c r="D467" s="1280"/>
      <c r="E467" s="1280"/>
      <c r="F467" s="1280"/>
      <c r="G467" s="1280"/>
      <c r="H467" s="1280"/>
      <c r="I467" s="1280"/>
      <c r="J467" s="1280"/>
      <c r="K467" s="1280"/>
      <c r="L467" s="1280"/>
      <c r="M467" s="1280"/>
      <c r="N467" s="1280"/>
      <c r="O467" s="1280"/>
      <c r="P467" s="1280"/>
      <c r="Q467" s="1281"/>
      <c r="R467" s="531" t="s">
        <v>752</v>
      </c>
      <c r="S467" s="380"/>
      <c r="T467" s="389"/>
      <c r="U467" s="380"/>
      <c r="V467" s="380"/>
      <c r="W467" s="380"/>
      <c r="X467" s="380"/>
      <c r="Y467" s="380"/>
      <c r="Z467" s="380"/>
      <c r="AA467" s="380"/>
      <c r="AB467" s="380"/>
      <c r="AC467" s="380"/>
      <c r="AD467" s="385"/>
    </row>
    <row r="468" spans="1:30" ht="26.25" customHeight="1" x14ac:dyDescent="0.25">
      <c r="A468" s="1282" t="s">
        <v>647</v>
      </c>
      <c r="B468" s="1283"/>
      <c r="C468" s="1283"/>
      <c r="D468" s="1283"/>
      <c r="E468" s="1283"/>
      <c r="F468" s="1283"/>
      <c r="G468" s="1283"/>
      <c r="H468" s="1283"/>
      <c r="I468" s="1283"/>
      <c r="J468" s="1283"/>
      <c r="K468" s="1283"/>
      <c r="L468" s="1283"/>
      <c r="M468" s="1283"/>
      <c r="N468" s="1283"/>
      <c r="O468" s="1283"/>
      <c r="P468" s="1283"/>
      <c r="Q468" s="1284"/>
      <c r="R468" s="531" t="s">
        <v>752</v>
      </c>
      <c r="S468" s="386" t="str">
        <f>IF(ISBLANK(A469),"",A469)</f>
        <v/>
      </c>
      <c r="T468" s="389" t="s">
        <v>584</v>
      </c>
      <c r="U468" s="380"/>
      <c r="V468" s="380"/>
      <c r="W468" s="380"/>
      <c r="X468" s="380"/>
      <c r="Y468" s="380"/>
      <c r="Z468" s="380"/>
      <c r="AA468" s="380"/>
      <c r="AB468" s="380"/>
      <c r="AC468" s="380"/>
      <c r="AD468" s="385"/>
    </row>
    <row r="469" spans="1:30" ht="26.25" customHeight="1" x14ac:dyDescent="0.25">
      <c r="A469" s="1278"/>
      <c r="B469" s="1255"/>
      <c r="C469" s="1255"/>
      <c r="D469" s="1255"/>
      <c r="E469" s="1255"/>
      <c r="F469" s="1255"/>
      <c r="G469" s="1255"/>
      <c r="H469" s="1255"/>
      <c r="I469" s="1255"/>
      <c r="J469" s="1255"/>
      <c r="K469" s="1255"/>
      <c r="L469" s="1255"/>
      <c r="M469" s="1255"/>
      <c r="N469" s="1255"/>
      <c r="O469" s="1255"/>
      <c r="P469" s="1255"/>
      <c r="Q469" s="1285"/>
      <c r="R469" s="534" t="s">
        <v>752</v>
      </c>
      <c r="U469" s="380"/>
      <c r="V469" s="380"/>
      <c r="W469" s="380"/>
      <c r="X469" s="380"/>
      <c r="Y469" s="380"/>
      <c r="Z469" s="380"/>
      <c r="AA469" s="380"/>
      <c r="AB469" s="380"/>
      <c r="AC469" s="380"/>
      <c r="AD469" s="385"/>
    </row>
    <row r="470" spans="1:30" ht="26.25" customHeight="1" thickBot="1" x14ac:dyDescent="0.3">
      <c r="A470" s="1257"/>
      <c r="B470" s="1258"/>
      <c r="C470" s="1258"/>
      <c r="D470" s="1258"/>
      <c r="E470" s="1258"/>
      <c r="F470" s="1258"/>
      <c r="G470" s="1258"/>
      <c r="H470" s="1258"/>
      <c r="I470" s="1258"/>
      <c r="J470" s="1258"/>
      <c r="K470" s="1258"/>
      <c r="L470" s="1258"/>
      <c r="M470" s="1258"/>
      <c r="N470" s="1258"/>
      <c r="O470" s="1258"/>
      <c r="P470" s="1258"/>
      <c r="Q470" s="1259"/>
      <c r="R470" s="534" t="s">
        <v>752</v>
      </c>
      <c r="S470" s="380"/>
      <c r="T470" s="380"/>
      <c r="U470" s="380"/>
      <c r="V470" s="380"/>
      <c r="W470" s="380"/>
      <c r="X470" s="380"/>
      <c r="Y470" s="380"/>
      <c r="Z470" s="380"/>
      <c r="AA470" s="380"/>
      <c r="AB470" s="380"/>
      <c r="AC470" s="380"/>
      <c r="AD470" s="385"/>
    </row>
    <row r="471" spans="1:30" ht="26.25" customHeight="1" x14ac:dyDescent="0.25">
      <c r="A471" s="1251" t="s">
        <v>649</v>
      </c>
      <c r="B471" s="1252"/>
      <c r="C471" s="1252"/>
      <c r="D471" s="1252"/>
      <c r="E471" s="1252"/>
      <c r="F471" s="1252"/>
      <c r="G471" s="1252"/>
      <c r="H471" s="1252"/>
      <c r="I471" s="1252"/>
      <c r="J471" s="1252"/>
      <c r="K471" s="1252"/>
      <c r="L471" s="1252"/>
      <c r="M471" s="1252"/>
      <c r="N471" s="1252"/>
      <c r="O471" s="1252"/>
      <c r="P471" s="1252"/>
      <c r="Q471" s="1253"/>
      <c r="R471" s="531" t="s">
        <v>752</v>
      </c>
      <c r="S471" s="392" t="str">
        <f>IF(ISBLANK(A472),"",A472)</f>
        <v/>
      </c>
      <c r="T471" s="393" t="s">
        <v>650</v>
      </c>
      <c r="W471" s="380"/>
      <c r="X471" s="380"/>
      <c r="Y471" s="380"/>
      <c r="Z471" s="380"/>
      <c r="AA471" s="388"/>
      <c r="AB471" s="388"/>
      <c r="AC471" s="388"/>
      <c r="AD471" s="385"/>
    </row>
    <row r="472" spans="1:30" ht="26.25" customHeight="1" x14ac:dyDescent="0.25">
      <c r="A472" s="1254"/>
      <c r="B472" s="1255"/>
      <c r="C472" s="1255"/>
      <c r="D472" s="1255"/>
      <c r="E472" s="1255"/>
      <c r="F472" s="1255"/>
      <c r="G472" s="1255"/>
      <c r="H472" s="1255"/>
      <c r="I472" s="1255"/>
      <c r="J472" s="1255"/>
      <c r="K472" s="1255"/>
      <c r="L472" s="1255"/>
      <c r="M472" s="1255"/>
      <c r="N472" s="1255"/>
      <c r="O472" s="1255"/>
      <c r="P472" s="1255"/>
      <c r="Q472" s="1256"/>
      <c r="R472" s="531" t="s">
        <v>752</v>
      </c>
      <c r="W472" s="380"/>
      <c r="X472" s="198"/>
      <c r="Y472" s="198"/>
      <c r="Z472" s="198"/>
      <c r="AA472" s="378"/>
      <c r="AB472" s="378"/>
      <c r="AC472" s="378"/>
      <c r="AD472" s="385"/>
    </row>
    <row r="473" spans="1:30" ht="26.25" customHeight="1" thickBot="1" x14ac:dyDescent="0.25">
      <c r="A473" s="1257"/>
      <c r="B473" s="1258"/>
      <c r="C473" s="1258"/>
      <c r="D473" s="1258"/>
      <c r="E473" s="1258"/>
      <c r="F473" s="1258"/>
      <c r="G473" s="1258"/>
      <c r="H473" s="1258"/>
      <c r="I473" s="1258"/>
      <c r="J473" s="1258"/>
      <c r="K473" s="1258"/>
      <c r="L473" s="1258"/>
      <c r="M473" s="1258"/>
      <c r="N473" s="1258"/>
      <c r="O473" s="1258"/>
      <c r="P473" s="1258"/>
      <c r="Q473" s="1259"/>
      <c r="R473" s="531" t="s">
        <v>752</v>
      </c>
      <c r="S473" s="352"/>
      <c r="T473" s="352"/>
      <c r="U473" s="352"/>
      <c r="V473" s="352"/>
      <c r="W473" s="380"/>
      <c r="X473" s="378"/>
      <c r="Y473" s="378"/>
      <c r="Z473" s="378"/>
      <c r="AA473" s="380"/>
      <c r="AB473" s="380"/>
      <c r="AC473" s="380"/>
      <c r="AD473" s="198"/>
    </row>
    <row r="474" spans="1:30" ht="26.25" customHeight="1" x14ac:dyDescent="0.25">
      <c r="A474" s="1260" t="s">
        <v>651</v>
      </c>
      <c r="B474" s="1261"/>
      <c r="C474" s="1261"/>
      <c r="D474" s="1261"/>
      <c r="E474" s="1261"/>
      <c r="F474" s="1261"/>
      <c r="G474" s="1261"/>
      <c r="H474" s="1261"/>
      <c r="I474" s="1261"/>
      <c r="J474" s="1261"/>
      <c r="K474" s="1261"/>
      <c r="L474" s="1261"/>
      <c r="M474" s="1261"/>
      <c r="N474" s="1261"/>
      <c r="O474" s="1261"/>
      <c r="P474" s="1261"/>
      <c r="Q474" s="1262"/>
      <c r="R474" s="531" t="s">
        <v>752</v>
      </c>
      <c r="S474" s="395"/>
      <c r="T474" s="396"/>
      <c r="U474" s="390"/>
      <c r="V474" s="390"/>
      <c r="W474" s="380"/>
      <c r="X474" s="380"/>
      <c r="Y474" s="380"/>
      <c r="Z474" s="380"/>
      <c r="AA474" s="380"/>
      <c r="AB474" s="380"/>
      <c r="AC474" s="380"/>
      <c r="AD474" s="385"/>
    </row>
    <row r="475" spans="1:30" ht="26.25" customHeight="1" x14ac:dyDescent="0.25">
      <c r="A475" s="1263"/>
      <c r="B475" s="1264"/>
      <c r="C475" s="1264"/>
      <c r="D475" s="1264"/>
      <c r="E475" s="1264"/>
      <c r="F475" s="1264"/>
      <c r="G475" s="1264"/>
      <c r="H475" s="1264"/>
      <c r="I475" s="1264"/>
      <c r="J475" s="1264"/>
      <c r="K475" s="1264"/>
      <c r="L475" s="1264"/>
      <c r="M475" s="1264"/>
      <c r="N475" s="1264"/>
      <c r="O475" s="1264"/>
      <c r="P475" s="1264"/>
      <c r="Q475" s="1265"/>
      <c r="R475" s="531" t="s">
        <v>752</v>
      </c>
      <c r="S475" s="397" t="str">
        <f>IF(ISBLANK(A475),"",CONCATENATE(S474,A475))</f>
        <v/>
      </c>
      <c r="T475" s="354" t="s">
        <v>195</v>
      </c>
      <c r="U475" s="183"/>
      <c r="V475" s="183"/>
      <c r="W475" s="380"/>
      <c r="X475" s="380"/>
      <c r="Y475" s="380"/>
      <c r="Z475" s="380"/>
      <c r="AA475" s="380"/>
      <c r="AB475" s="380"/>
      <c r="AC475" s="380"/>
      <c r="AD475" s="385"/>
    </row>
    <row r="476" spans="1:30" ht="26.25" customHeight="1" thickBot="1" x14ac:dyDescent="0.25">
      <c r="A476" s="1266"/>
      <c r="B476" s="1267"/>
      <c r="C476" s="1267"/>
      <c r="D476" s="1267"/>
      <c r="E476" s="1267"/>
      <c r="F476" s="1267"/>
      <c r="G476" s="1267"/>
      <c r="H476" s="1267"/>
      <c r="I476" s="1267"/>
      <c r="J476" s="1267"/>
      <c r="K476" s="1267"/>
      <c r="L476" s="1267"/>
      <c r="M476" s="1267"/>
      <c r="N476" s="1267"/>
      <c r="O476" s="1267"/>
      <c r="P476" s="1267"/>
      <c r="Q476" s="1268"/>
      <c r="R476" s="531" t="s">
        <v>752</v>
      </c>
      <c r="S476" s="198"/>
      <c r="T476" s="198"/>
      <c r="U476" s="198"/>
      <c r="V476" s="198"/>
      <c r="W476" s="198"/>
      <c r="X476" s="380"/>
      <c r="Y476" s="380"/>
      <c r="Z476" s="380"/>
      <c r="AA476" s="380"/>
      <c r="AB476" s="380"/>
      <c r="AC476" s="380"/>
      <c r="AD476" s="198"/>
    </row>
    <row r="477" spans="1:30" ht="26.25" customHeight="1" thickBot="1" x14ac:dyDescent="0.25">
      <c r="A477" s="1369" t="e">
        <f>$A$1</f>
        <v>#N/A</v>
      </c>
      <c r="B477" s="1369"/>
      <c r="C477" s="1369"/>
      <c r="D477" s="1369"/>
      <c r="E477" s="1369"/>
      <c r="F477" s="1369"/>
      <c r="G477" s="1369"/>
      <c r="H477" s="1369"/>
      <c r="I477" s="1369"/>
      <c r="J477" s="1369"/>
      <c r="K477" s="1369"/>
      <c r="L477" s="1369"/>
      <c r="M477" s="1369"/>
      <c r="N477" s="1369"/>
      <c r="O477" s="1369"/>
      <c r="P477" s="1369"/>
      <c r="Q477" s="1369"/>
      <c r="R477" s="531" t="s">
        <v>752</v>
      </c>
      <c r="S477" s="388"/>
      <c r="T477" s="388"/>
      <c r="U477" s="388"/>
      <c r="V477" s="388"/>
      <c r="W477" s="378"/>
      <c r="X477" s="380"/>
      <c r="Y477" s="380"/>
      <c r="Z477" s="380"/>
      <c r="AA477" s="380"/>
      <c r="AB477" s="380"/>
      <c r="AC477" s="380"/>
      <c r="AD477" s="198"/>
    </row>
    <row r="478" spans="1:30" ht="26.25" customHeight="1" thickBot="1" x14ac:dyDescent="0.25">
      <c r="A478" s="1364" t="s">
        <v>637</v>
      </c>
      <c r="B478" s="1365"/>
      <c r="C478" s="1365"/>
      <c r="D478" s="1365"/>
      <c r="E478" s="1365"/>
      <c r="F478" s="1365"/>
      <c r="G478" s="1365"/>
      <c r="H478" s="1365"/>
      <c r="I478" s="1365"/>
      <c r="J478" s="1365"/>
      <c r="K478" s="1365"/>
      <c r="L478" s="1365"/>
      <c r="M478" s="1365"/>
      <c r="N478" s="1366" t="str">
        <f>$N$5</f>
        <v>2024 Report Year</v>
      </c>
      <c r="O478" s="1367"/>
      <c r="P478" s="1367"/>
      <c r="Q478" s="1368"/>
      <c r="R478" s="534" t="s">
        <v>752</v>
      </c>
      <c r="S478" s="394"/>
      <c r="T478" s="394"/>
      <c r="U478" s="394"/>
      <c r="V478" s="394"/>
      <c r="W478" s="380"/>
      <c r="X478" s="380"/>
      <c r="Y478" s="380"/>
      <c r="Z478" s="380"/>
      <c r="AA478" s="380"/>
      <c r="AB478" s="380"/>
      <c r="AC478" s="380"/>
      <c r="AD478" s="198"/>
    </row>
    <row r="479" spans="1:30" ht="26.25" customHeight="1" x14ac:dyDescent="0.2">
      <c r="A479" s="1351" t="str">
        <f>IF(AND(OR(ISNA(cap_exp_contact),TRIM(cap_exp_contact)=""),NOT(ISBLANK(code_7594))),"The Capital Expenditure Contact information has NOT been provided.  Please complete this information now.","")</f>
        <v/>
      </c>
      <c r="B479" s="1352"/>
      <c r="C479" s="1352"/>
      <c r="D479" s="1352"/>
      <c r="E479" s="1352"/>
      <c r="F479" s="1352"/>
      <c r="G479" s="1352"/>
      <c r="H479" s="1352"/>
      <c r="I479" s="1352"/>
      <c r="J479" s="1352"/>
      <c r="K479" s="1352"/>
      <c r="L479" s="1352"/>
      <c r="M479" s="1352"/>
      <c r="N479" s="343" t="s">
        <v>602</v>
      </c>
      <c r="O479" s="344" t="e">
        <f>$O$6</f>
        <v>#N/A</v>
      </c>
      <c r="P479" s="345" t="s">
        <v>603</v>
      </c>
      <c r="Q479" s="461" t="e">
        <f>IF(ISBLANK(Q436),"",Q436+1)</f>
        <v>#VALUE!</v>
      </c>
      <c r="R479" s="534" t="s">
        <v>752</v>
      </c>
      <c r="S479" s="198"/>
      <c r="T479" s="198"/>
      <c r="U479" s="198"/>
      <c r="V479" s="198"/>
      <c r="W479" s="380"/>
      <c r="X479" s="380"/>
      <c r="Y479" s="380"/>
      <c r="Z479" s="380"/>
      <c r="AA479" s="380"/>
      <c r="AB479" s="380"/>
      <c r="AC479" s="380"/>
      <c r="AD479" s="198"/>
    </row>
    <row r="480" spans="1:30" ht="26.25" customHeight="1" thickBot="1" x14ac:dyDescent="0.25">
      <c r="A480" s="1353" t="s">
        <v>197</v>
      </c>
      <c r="B480" s="1354"/>
      <c r="C480" s="1354"/>
      <c r="D480" s="1354"/>
      <c r="E480" s="1355"/>
      <c r="F480" s="1356"/>
      <c r="G480" s="1356"/>
      <c r="H480" s="1356"/>
      <c r="I480" s="1356"/>
      <c r="J480" s="1356"/>
      <c r="K480" s="1356"/>
      <c r="L480" s="1357"/>
      <c r="M480" s="550" t="s">
        <v>752</v>
      </c>
      <c r="N480" s="1358" t="s">
        <v>604</v>
      </c>
      <c r="O480" s="1359"/>
      <c r="P480" s="1359"/>
      <c r="Q480" s="1360"/>
      <c r="R480" s="531" t="s">
        <v>752</v>
      </c>
      <c r="S480" s="348" t="str">
        <f>IF(ISBLANK(E480),"",E480)</f>
        <v/>
      </c>
      <c r="T480" s="143" t="s">
        <v>495</v>
      </c>
      <c r="U480" s="280"/>
      <c r="V480" s="280"/>
      <c r="W480" s="380"/>
      <c r="X480" s="380"/>
      <c r="Y480" s="380"/>
      <c r="Z480" s="380"/>
      <c r="AA480" s="380"/>
      <c r="AB480" s="380"/>
      <c r="AC480" s="380"/>
      <c r="AD480" s="198"/>
    </row>
    <row r="481" spans="1:30" ht="26.25" customHeight="1" x14ac:dyDescent="0.2">
      <c r="A481" s="1361" t="s">
        <v>605</v>
      </c>
      <c r="B481" s="1362"/>
      <c r="C481" s="1362"/>
      <c r="D481" s="1363"/>
      <c r="E481" s="1339"/>
      <c r="F481" s="1340"/>
      <c r="G481" s="1340"/>
      <c r="H481" s="1340"/>
      <c r="I481" s="1340"/>
      <c r="J481" s="1340"/>
      <c r="K481" s="1340"/>
      <c r="L481" s="1341"/>
      <c r="M481" s="1342" t="str">
        <f>IF(AND(ISBLANK(E481),OR(NOT(ISBLANK(E482)),NOT(ISBLANK(E483)),NOT(ISBLANK(E484)),NOT(ISBLANK(I485)),NOT(ISBLANK(A487)))),"This information is required.","")</f>
        <v/>
      </c>
      <c r="N481" s="1343"/>
      <c r="O481" s="1343"/>
      <c r="P481" s="1343"/>
      <c r="Q481" s="551" t="s">
        <v>752</v>
      </c>
      <c r="R481" s="531" t="s">
        <v>752</v>
      </c>
      <c r="S481" s="348" t="str">
        <f>IF(ISBLANK(E481),"",E481)</f>
        <v/>
      </c>
      <c r="T481" s="143" t="s">
        <v>185</v>
      </c>
      <c r="U481" s="280"/>
      <c r="V481" s="280"/>
      <c r="W481" s="380"/>
      <c r="X481" s="380"/>
      <c r="Y481" s="380"/>
      <c r="Z481" s="380"/>
      <c r="AA481" s="380"/>
      <c r="AB481" s="380"/>
      <c r="AC481" s="380"/>
      <c r="AD481" s="198"/>
    </row>
    <row r="482" spans="1:30" ht="26.25" customHeight="1" x14ac:dyDescent="0.2">
      <c r="A482" s="1325" t="s">
        <v>606</v>
      </c>
      <c r="B482" s="1326"/>
      <c r="C482" s="1326"/>
      <c r="D482" s="1327"/>
      <c r="E482" s="1339"/>
      <c r="F482" s="1340"/>
      <c r="G482" s="1340"/>
      <c r="H482" s="1340"/>
      <c r="I482" s="1340"/>
      <c r="J482" s="1340"/>
      <c r="K482" s="1340"/>
      <c r="L482" s="1341"/>
      <c r="M482" s="1342" t="str">
        <f>IF(AND(ISBLANK(E482),OR(NOT(ISBLANK(E481)),NOT(ISBLANK(E483)),NOT(ISBLANK(E484)),NOT(ISBLANK(I485)),NOT(ISBLANK(A487)))),"This information is required.","")</f>
        <v/>
      </c>
      <c r="N482" s="1343"/>
      <c r="O482" s="1343"/>
      <c r="P482" s="1343"/>
      <c r="Q482" s="551" t="s">
        <v>752</v>
      </c>
      <c r="R482" s="531" t="s">
        <v>752</v>
      </c>
      <c r="S482" s="348" t="str">
        <f>IF(ISBLANK(E482),"",E482)</f>
        <v/>
      </c>
      <c r="T482" s="143" t="s">
        <v>186</v>
      </c>
      <c r="U482" s="280"/>
      <c r="V482" s="280"/>
      <c r="W482" s="380"/>
      <c r="X482" s="380"/>
      <c r="Y482" s="380"/>
      <c r="Z482" s="380"/>
      <c r="AA482" s="198"/>
      <c r="AB482" s="198"/>
      <c r="AC482" s="198"/>
      <c r="AD482" s="198"/>
    </row>
    <row r="483" spans="1:30" ht="26.25" customHeight="1" x14ac:dyDescent="0.2">
      <c r="A483" s="1344" t="s">
        <v>607</v>
      </c>
      <c r="B483" s="1345"/>
      <c r="C483" s="1345"/>
      <c r="D483" s="1346"/>
      <c r="E483" s="1347"/>
      <c r="F483" s="1348"/>
      <c r="G483" s="1349" t="s">
        <v>608</v>
      </c>
      <c r="H483" s="1349"/>
      <c r="I483" s="1349"/>
      <c r="J483" s="1349"/>
      <c r="K483" s="1349"/>
      <c r="L483" s="1349"/>
      <c r="M483" s="1350" t="str">
        <f>IF(AND(ISBLANK(E483),OR(NOT(ISBLANK(E481)),NOT(ISBLANK(E482)),NOT(ISBLANK(E484)),NOT(ISBLANK(I485)),NOT(ISBLANK(A487)))),"This information is required.","")</f>
        <v/>
      </c>
      <c r="N483" s="1202"/>
      <c r="O483" s="1202"/>
      <c r="P483" s="1202"/>
      <c r="Q483" s="532" t="s">
        <v>752</v>
      </c>
      <c r="R483" s="531" t="s">
        <v>752</v>
      </c>
      <c r="S483" s="350" t="str">
        <f>IF(ISBLANK(E483),"",E483)</f>
        <v/>
      </c>
      <c r="T483" s="351" t="s">
        <v>188</v>
      </c>
      <c r="U483" s="349"/>
      <c r="V483" s="349"/>
      <c r="W483" s="380"/>
      <c r="X483" s="388"/>
      <c r="Y483" s="388"/>
      <c r="Z483" s="388"/>
      <c r="AA483" s="382"/>
      <c r="AB483" s="382"/>
      <c r="AC483" s="382"/>
      <c r="AD483" s="198"/>
    </row>
    <row r="484" spans="1:30" ht="26.25" customHeight="1" x14ac:dyDescent="0.2">
      <c r="A484" s="1325" t="s">
        <v>609</v>
      </c>
      <c r="B484" s="1326"/>
      <c r="C484" s="1326"/>
      <c r="D484" s="1327"/>
      <c r="E484" s="1328"/>
      <c r="F484" s="1329"/>
      <c r="G484" s="1337" t="s">
        <v>752</v>
      </c>
      <c r="H484" s="1338"/>
      <c r="I484" s="1338"/>
      <c r="J484" s="1338"/>
      <c r="K484" s="1338"/>
      <c r="L484" s="1338"/>
      <c r="M484" s="1202" t="str">
        <f>IF(AND(ISBLANK(E484),OR(NOT(ISBLANK(E481)),NOT(ISBLANK(E482)),NOT(ISBLANK(E483)),NOT(ISBLANK(I485)),NOT(ISBLANK(A487)))),"This information is required.","")</f>
        <v/>
      </c>
      <c r="N484" s="1202"/>
      <c r="O484" s="1202"/>
      <c r="P484" s="1202"/>
      <c r="Q484" s="532" t="s">
        <v>752</v>
      </c>
      <c r="R484" s="531" t="s">
        <v>752</v>
      </c>
      <c r="S484" s="353" t="str">
        <f>IF(ISBLANK(E484),"",E484)</f>
        <v/>
      </c>
      <c r="T484" s="354" t="s">
        <v>189</v>
      </c>
      <c r="U484" s="318"/>
      <c r="V484" s="318"/>
      <c r="W484" s="380"/>
      <c r="X484" s="394"/>
      <c r="Y484" s="394"/>
      <c r="Z484" s="394"/>
      <c r="AA484" s="380"/>
      <c r="AB484" s="380"/>
      <c r="AC484" s="380"/>
      <c r="AD484" s="198"/>
    </row>
    <row r="485" spans="1:30" ht="26.25" customHeight="1" thickBot="1" x14ac:dyDescent="0.25">
      <c r="A485" s="1330" t="s">
        <v>610</v>
      </c>
      <c r="B485" s="1331"/>
      <c r="C485" s="1331"/>
      <c r="D485" s="1331"/>
      <c r="E485" s="1332"/>
      <c r="F485" s="1332"/>
      <c r="G485" s="1332"/>
      <c r="H485" s="1332"/>
      <c r="I485" s="1333"/>
      <c r="J485" s="1333"/>
      <c r="K485" s="1334" t="s">
        <v>611</v>
      </c>
      <c r="L485" s="1335"/>
      <c r="M485" s="1336" t="str">
        <f>IF(AND(ISBLANK(I485),OR(NOT(ISBLANK(E481)),NOT(ISBLANK(E482)),NOT(ISBLANK(E483)),NOT(ISBLANK(E484)),NOT(ISBLANK(A487)))),"This information is required!","")</f>
        <v/>
      </c>
      <c r="N485" s="1336"/>
      <c r="O485" s="1336"/>
      <c r="P485" s="1336"/>
      <c r="Q485" s="553" t="s">
        <v>752</v>
      </c>
      <c r="R485" s="531" t="s">
        <v>752</v>
      </c>
      <c r="S485" s="353" t="str">
        <f>IF(ISBLANK(I485),"",I485)</f>
        <v/>
      </c>
      <c r="T485" s="354" t="s">
        <v>190</v>
      </c>
      <c r="U485" s="355"/>
      <c r="V485" s="355"/>
      <c r="W485" s="380"/>
      <c r="X485" s="198"/>
      <c r="Y485" s="198"/>
      <c r="Z485" s="198"/>
      <c r="AA485" s="380"/>
      <c r="AB485" s="380"/>
      <c r="AC485" s="380"/>
      <c r="AD485" s="198"/>
    </row>
    <row r="486" spans="1:30" ht="26.25" customHeight="1" x14ac:dyDescent="0.2">
      <c r="A486" s="1251" t="s">
        <v>613</v>
      </c>
      <c r="B486" s="1252"/>
      <c r="C486" s="1252"/>
      <c r="D486" s="1252"/>
      <c r="E486" s="1252"/>
      <c r="F486" s="1252"/>
      <c r="G486" s="1252"/>
      <c r="H486" s="1252"/>
      <c r="I486" s="1252"/>
      <c r="J486" s="1317"/>
      <c r="K486" s="1318" t="s">
        <v>679</v>
      </c>
      <c r="L486" s="1318"/>
      <c r="M486" s="1318"/>
      <c r="N486" s="1318"/>
      <c r="O486" s="1320" t="s">
        <v>614</v>
      </c>
      <c r="P486" s="1320"/>
      <c r="Q486" s="1321"/>
      <c r="R486" s="531" t="s">
        <v>752</v>
      </c>
      <c r="S486" s="353" t="str">
        <f>IF(ISBLANK(A487),"",A487)</f>
        <v/>
      </c>
      <c r="T486" s="354" t="s">
        <v>191</v>
      </c>
      <c r="U486" s="357"/>
      <c r="V486" s="357"/>
      <c r="W486" s="380"/>
      <c r="X486" s="198"/>
      <c r="Y486" s="198"/>
      <c r="Z486" s="198"/>
      <c r="AA486" s="380"/>
      <c r="AB486" s="380"/>
      <c r="AC486" s="380"/>
      <c r="AD486" s="198"/>
    </row>
    <row r="487" spans="1:30" ht="26.25" customHeight="1" x14ac:dyDescent="0.2">
      <c r="A487" s="1263"/>
      <c r="B487" s="1264"/>
      <c r="C487" s="1264"/>
      <c r="D487" s="1264"/>
      <c r="E487" s="1264"/>
      <c r="F487" s="1264"/>
      <c r="G487" s="1264"/>
      <c r="H487" s="1264"/>
      <c r="I487" s="1264"/>
      <c r="J487" s="1305"/>
      <c r="K487" s="1319"/>
      <c r="L487" s="1319"/>
      <c r="M487" s="1319"/>
      <c r="N487" s="1319"/>
      <c r="O487" s="555" t="s">
        <v>752</v>
      </c>
      <c r="P487" s="214" t="s">
        <v>265</v>
      </c>
      <c r="Q487" s="358" t="s">
        <v>266</v>
      </c>
      <c r="R487" s="531" t="s">
        <v>752</v>
      </c>
      <c r="S487" s="353" t="str">
        <f>IF(ISBLANK(A490),"",A490)</f>
        <v/>
      </c>
      <c r="T487" s="359" t="s">
        <v>192</v>
      </c>
      <c r="U487" s="357"/>
      <c r="V487" s="357"/>
      <c r="W487" s="388"/>
      <c r="X487" s="198"/>
      <c r="Y487" s="198"/>
      <c r="Z487" s="198"/>
      <c r="AA487" s="380"/>
      <c r="AB487" s="380"/>
      <c r="AC487" s="380"/>
      <c r="AD487" s="198"/>
    </row>
    <row r="488" spans="1:30" ht="26.25" customHeight="1" x14ac:dyDescent="0.2">
      <c r="A488" s="1279"/>
      <c r="B488" s="1280"/>
      <c r="C488" s="1280"/>
      <c r="D488" s="1280"/>
      <c r="E488" s="1280"/>
      <c r="F488" s="1280"/>
      <c r="G488" s="1280"/>
      <c r="H488" s="1280"/>
      <c r="I488" s="1280"/>
      <c r="J488" s="1306"/>
      <c r="K488" s="1307" t="s">
        <v>615</v>
      </c>
      <c r="L488" s="1308"/>
      <c r="M488" s="1308"/>
      <c r="N488" s="1308"/>
      <c r="O488" s="1309"/>
      <c r="P488" s="365"/>
      <c r="Q488" s="400"/>
      <c r="R488" s="355" t="str">
        <f>IF(COUNTBLANK(P488:Q488)=2,"Please enter response.",IF(COUNTBLANK(P488:Q488)&lt;&gt;1,"Please VERIFY response.",""))</f>
        <v>Please enter response.</v>
      </c>
      <c r="S488" s="366" t="str">
        <f>IF(AND(ISBLANK(P488),ISBLANK(Q488)),"",IF(ISBLANK(P488),0,1))</f>
        <v/>
      </c>
      <c r="T488" s="233" t="s">
        <v>586</v>
      </c>
      <c r="U488" s="200"/>
      <c r="V488" s="200"/>
      <c r="W488" s="394"/>
      <c r="X488" s="198"/>
      <c r="Y488" s="198"/>
      <c r="Z488" s="198"/>
      <c r="AA488" s="380"/>
      <c r="AB488" s="380"/>
      <c r="AC488" s="380"/>
      <c r="AD488" s="198"/>
    </row>
    <row r="489" spans="1:30" ht="26.25" customHeight="1" x14ac:dyDescent="0.2">
      <c r="A489" s="1322" t="s">
        <v>616</v>
      </c>
      <c r="B489" s="1323"/>
      <c r="C489" s="1323"/>
      <c r="D489" s="1323"/>
      <c r="E489" s="1323"/>
      <c r="F489" s="1323"/>
      <c r="G489" s="1323"/>
      <c r="H489" s="1323"/>
      <c r="I489" s="1323"/>
      <c r="J489" s="1324"/>
      <c r="K489" s="1307" t="s">
        <v>617</v>
      </c>
      <c r="L489" s="1308"/>
      <c r="M489" s="1308"/>
      <c r="N489" s="1308"/>
      <c r="O489" s="1309"/>
      <c r="P489" s="365"/>
      <c r="Q489" s="400"/>
      <c r="R489" s="355" t="str">
        <f>IF(COUNTBLANK(P489:Q489)=2,"Please enter response.",IF(COUNTBLANK(P489:Q489)&lt;&gt;1,"Please VERIFY response.",""))</f>
        <v>Please enter response.</v>
      </c>
      <c r="S489" s="366" t="str">
        <f>IF(AND(ISBLANK(P489),ISBLANK(Q489)),"",IF(ISBLANK(P489),0,1))</f>
        <v/>
      </c>
      <c r="T489" s="233" t="s">
        <v>587</v>
      </c>
      <c r="U489" s="200"/>
      <c r="V489" s="200"/>
      <c r="W489" s="198"/>
      <c r="X489" s="198"/>
      <c r="Y489" s="198"/>
      <c r="Z489" s="198"/>
      <c r="AA489" s="380"/>
      <c r="AB489" s="380"/>
      <c r="AC489" s="380"/>
      <c r="AD489" s="198"/>
    </row>
    <row r="490" spans="1:30" ht="26.25" customHeight="1" x14ac:dyDescent="0.2">
      <c r="A490" s="1263"/>
      <c r="B490" s="1264"/>
      <c r="C490" s="1264"/>
      <c r="D490" s="1264"/>
      <c r="E490" s="1264"/>
      <c r="F490" s="1264"/>
      <c r="G490" s="1264"/>
      <c r="H490" s="1264"/>
      <c r="I490" s="1264"/>
      <c r="J490" s="1305"/>
      <c r="K490" s="1307" t="s">
        <v>618</v>
      </c>
      <c r="L490" s="1308"/>
      <c r="M490" s="1308"/>
      <c r="N490" s="1308"/>
      <c r="O490" s="1309"/>
      <c r="P490" s="365"/>
      <c r="Q490" s="400"/>
      <c r="R490" s="355" t="str">
        <f>IF(COUNTBLANK(P490:Q490)=2,"Please enter response.",IF(COUNTBLANK(P490:Q490)&lt;&gt;1,"Please VERIFY response.",""))</f>
        <v>Please enter response.</v>
      </c>
      <c r="S490" s="366" t="str">
        <f>IF(AND(ISBLANK(P490),ISBLANK(Q490)),"",IF(ISBLANK(P490),0,1))</f>
        <v/>
      </c>
      <c r="T490" s="233" t="s">
        <v>588</v>
      </c>
      <c r="U490" s="200"/>
      <c r="V490" s="200"/>
      <c r="W490" s="198"/>
      <c r="X490" s="349"/>
      <c r="Y490" s="349"/>
      <c r="Z490" s="349"/>
      <c r="AA490" s="380"/>
      <c r="AB490" s="380"/>
      <c r="AC490" s="380"/>
      <c r="AD490" s="198"/>
    </row>
    <row r="491" spans="1:30" ht="26.25" customHeight="1" x14ac:dyDescent="0.2">
      <c r="A491" s="1279"/>
      <c r="B491" s="1280"/>
      <c r="C491" s="1280"/>
      <c r="D491" s="1280"/>
      <c r="E491" s="1280"/>
      <c r="F491" s="1280"/>
      <c r="G491" s="1280"/>
      <c r="H491" s="1280"/>
      <c r="I491" s="1280"/>
      <c r="J491" s="1306"/>
      <c r="K491" s="1307" t="s">
        <v>619</v>
      </c>
      <c r="L491" s="1308"/>
      <c r="M491" s="1308"/>
      <c r="N491" s="1308"/>
      <c r="O491" s="1309"/>
      <c r="P491" s="365"/>
      <c r="Q491" s="400"/>
      <c r="R491" s="355" t="str">
        <f>IF(COUNTBLANK(P491:Q491)=2,"Please enter response.",IF(COUNTBLANK(P491:Q491)&lt;&gt;1,"Please VERIFY response.",""))</f>
        <v>Please enter response.</v>
      </c>
      <c r="S491" s="366" t="str">
        <f>IF(AND(ISBLANK(P491),ISBLANK(Q491)),"",IF(ISBLANK(P491),0,1))</f>
        <v/>
      </c>
      <c r="T491" s="233" t="s">
        <v>589</v>
      </c>
      <c r="U491" s="200"/>
      <c r="V491" s="200"/>
      <c r="W491" s="198"/>
      <c r="X491" s="198"/>
      <c r="Y491" s="198"/>
      <c r="Z491" s="198"/>
      <c r="AA491" s="380"/>
      <c r="AB491" s="380"/>
      <c r="AC491" s="380"/>
      <c r="AD491" s="198"/>
    </row>
    <row r="492" spans="1:30" ht="26.25" customHeight="1" x14ac:dyDescent="0.2">
      <c r="A492" s="1310" t="s">
        <v>620</v>
      </c>
      <c r="B492" s="1311"/>
      <c r="C492" s="1311"/>
      <c r="D492" s="1311"/>
      <c r="E492" s="1311"/>
      <c r="F492" s="1311"/>
      <c r="G492" s="1311"/>
      <c r="H492" s="1311"/>
      <c r="I492" s="1311"/>
      <c r="J492" s="1311"/>
      <c r="K492" s="1311"/>
      <c r="L492" s="1311"/>
      <c r="M492" s="1311"/>
      <c r="N492" s="1311"/>
      <c r="O492" s="1311"/>
      <c r="P492" s="1311"/>
      <c r="Q492" s="1312"/>
      <c r="R492" s="534" t="s">
        <v>752</v>
      </c>
      <c r="S492" s="377"/>
      <c r="T492" s="368"/>
      <c r="U492" s="368"/>
      <c r="V492" s="368"/>
      <c r="W492" s="198"/>
      <c r="X492" s="198"/>
      <c r="Y492" s="198"/>
      <c r="Z492" s="198"/>
      <c r="AA492" s="380"/>
      <c r="AB492" s="380"/>
      <c r="AC492" s="380"/>
      <c r="AD492" s="198"/>
    </row>
    <row r="493" spans="1:30" ht="26.25" customHeight="1" x14ac:dyDescent="0.2">
      <c r="A493" s="1313" t="s">
        <v>621</v>
      </c>
      <c r="B493" s="1314"/>
      <c r="C493" s="1314"/>
      <c r="D493" s="1314"/>
      <c r="E493" s="1314" t="s">
        <v>622</v>
      </c>
      <c r="F493" s="1314"/>
      <c r="G493" s="1314"/>
      <c r="H493" s="1314"/>
      <c r="I493" s="1314" t="s">
        <v>623</v>
      </c>
      <c r="J493" s="1314"/>
      <c r="K493" s="1314"/>
      <c r="L493" s="1314"/>
      <c r="M493" s="1315" t="s">
        <v>624</v>
      </c>
      <c r="N493" s="1314"/>
      <c r="O493" s="1314"/>
      <c r="P493" s="1314"/>
      <c r="Q493" s="1316"/>
      <c r="R493" s="534" t="s">
        <v>752</v>
      </c>
      <c r="S493" s="1298" t="s">
        <v>625</v>
      </c>
      <c r="T493" s="1298"/>
      <c r="U493" s="1298"/>
      <c r="V493" s="1298"/>
      <c r="W493" s="198"/>
      <c r="X493" s="198"/>
      <c r="Y493" s="198"/>
      <c r="Z493" s="198"/>
      <c r="AA493" s="198"/>
      <c r="AB493" s="198"/>
      <c r="AC493" s="198"/>
      <c r="AD493" s="198"/>
    </row>
    <row r="494" spans="1:30" ht="26.25" customHeight="1" thickBot="1" x14ac:dyDescent="0.25">
      <c r="A494" s="1299"/>
      <c r="B494" s="848"/>
      <c r="C494" s="848"/>
      <c r="D494" s="848"/>
      <c r="E494" s="848"/>
      <c r="F494" s="848"/>
      <c r="G494" s="848"/>
      <c r="H494" s="848"/>
      <c r="I494" s="848"/>
      <c r="J494" s="848"/>
      <c r="K494" s="848"/>
      <c r="L494" s="848"/>
      <c r="M494" s="1300"/>
      <c r="N494" s="1300"/>
      <c r="O494" s="1300"/>
      <c r="P494" s="1300"/>
      <c r="Q494" s="1301"/>
      <c r="R494" s="531" t="s">
        <v>752</v>
      </c>
      <c r="S494" s="381" t="str">
        <f>IF(ISBLANK(A494),"",VLOOKUP(A494,VProjType,2,FALSE))</f>
        <v/>
      </c>
      <c r="T494" s="381" t="str">
        <f>IF(ISBLANK(E494),"",VLOOKUP(E494,VSubtype1,2,FALSE))</f>
        <v/>
      </c>
      <c r="U494" s="381" t="str">
        <f>IF(ISBLANK(I494),"",VLOOKUP(I494,VSubtype2,2,FALSE))</f>
        <v/>
      </c>
      <c r="V494" s="381" t="str">
        <f>IF(ISBLANK(M494),"",VLOOKUP(M494,VSubtype3,2,FALSE))</f>
        <v/>
      </c>
      <c r="W494" s="349"/>
      <c r="X494" s="349"/>
      <c r="Y494" s="349"/>
      <c r="Z494" s="349"/>
      <c r="AA494" s="378"/>
      <c r="AB494" s="378"/>
      <c r="AC494" s="378"/>
      <c r="AD494" s="198"/>
    </row>
    <row r="495" spans="1:30" ht="26.25" customHeight="1" x14ac:dyDescent="0.2">
      <c r="A495" s="1302" t="s">
        <v>627</v>
      </c>
      <c r="B495" s="1303"/>
      <c r="C495" s="1303"/>
      <c r="D495" s="1303"/>
      <c r="E495" s="1303"/>
      <c r="F495" s="1303"/>
      <c r="G495" s="1303"/>
      <c r="H495" s="1303"/>
      <c r="I495" s="1303"/>
      <c r="J495" s="1303"/>
      <c r="K495" s="1303"/>
      <c r="L495" s="1303"/>
      <c r="M495" s="1303"/>
      <c r="N495" s="1303"/>
      <c r="O495" s="1303"/>
      <c r="P495" s="1303"/>
      <c r="Q495" s="1304"/>
      <c r="R495" s="531" t="s">
        <v>752</v>
      </c>
      <c r="S495" s="382" t="s">
        <v>628</v>
      </c>
      <c r="T495" s="378"/>
      <c r="U495" s="378"/>
      <c r="V495" s="378"/>
      <c r="W495" s="198"/>
      <c r="X495" s="380"/>
      <c r="Y495" s="380"/>
      <c r="Z495" s="380"/>
      <c r="AA495" s="380"/>
      <c r="AB495" s="380"/>
      <c r="AC495" s="380"/>
      <c r="AD495" s="198"/>
    </row>
    <row r="496" spans="1:30" ht="26.25" customHeight="1" x14ac:dyDescent="0.2">
      <c r="A496" s="1269" t="s">
        <v>629</v>
      </c>
      <c r="B496" s="1270"/>
      <c r="C496" s="1270"/>
      <c r="D496" s="1270"/>
      <c r="E496" s="1270"/>
      <c r="F496" s="1270"/>
      <c r="G496" s="1270"/>
      <c r="H496" s="1270"/>
      <c r="I496" s="1270"/>
      <c r="J496" s="1270"/>
      <c r="K496" s="1270"/>
      <c r="L496" s="1271"/>
      <c r="M496" s="1272"/>
      <c r="N496" s="1273"/>
      <c r="O496" s="1273"/>
      <c r="P496" s="1273"/>
      <c r="Q496" s="1274"/>
      <c r="R496" s="531" t="s">
        <v>752</v>
      </c>
      <c r="S496" s="383" t="str">
        <f>IF(ISBLANK(M496),"",VLOOKUP(M496,VRemote,2,FALSE))</f>
        <v/>
      </c>
      <c r="T496" s="384" t="s">
        <v>630</v>
      </c>
      <c r="U496" s="378"/>
      <c r="V496" s="378"/>
      <c r="W496" s="198"/>
      <c r="X496" s="380"/>
      <c r="Y496" s="380"/>
      <c r="Z496" s="380"/>
      <c r="AA496" s="380"/>
      <c r="AB496" s="380"/>
      <c r="AC496" s="380"/>
      <c r="AD496" s="198"/>
    </row>
    <row r="497" spans="1:38" ht="26.25" customHeight="1" x14ac:dyDescent="0.2">
      <c r="A497" s="1269" t="s">
        <v>631</v>
      </c>
      <c r="B497" s="1270"/>
      <c r="C497" s="1270"/>
      <c r="D497" s="1270"/>
      <c r="E497" s="1270"/>
      <c r="F497" s="1270"/>
      <c r="G497" s="1270"/>
      <c r="H497" s="1270"/>
      <c r="I497" s="1270"/>
      <c r="J497" s="1270"/>
      <c r="K497" s="1270"/>
      <c r="L497" s="1270"/>
      <c r="M497" s="1272"/>
      <c r="N497" s="1273"/>
      <c r="O497" s="1273"/>
      <c r="P497" s="1273"/>
      <c r="Q497" s="1274"/>
      <c r="R497" s="531" t="s">
        <v>752</v>
      </c>
      <c r="S497" s="383" t="str">
        <f>IF(ISBLANK(M497),"",VLOOKUP(M497,VCapacity,2,FALSE))</f>
        <v/>
      </c>
      <c r="T497" s="151" t="s">
        <v>632</v>
      </c>
      <c r="U497" s="380"/>
      <c r="V497" s="380"/>
      <c r="W497" s="198"/>
      <c r="X497" s="380"/>
      <c r="Y497" s="380"/>
      <c r="Z497" s="380"/>
      <c r="AA497" s="380"/>
      <c r="AB497" s="380"/>
      <c r="AC497" s="380"/>
      <c r="AD497" s="198"/>
    </row>
    <row r="498" spans="1:38" ht="26.25" customHeight="1" x14ac:dyDescent="0.2">
      <c r="A498" s="1269" t="s">
        <v>633</v>
      </c>
      <c r="B498" s="1270"/>
      <c r="C498" s="1270"/>
      <c r="D498" s="1270"/>
      <c r="E498" s="1270"/>
      <c r="F498" s="1270"/>
      <c r="G498" s="1270"/>
      <c r="H498" s="1270"/>
      <c r="I498" s="1270"/>
      <c r="J498" s="1270"/>
      <c r="K498" s="1270"/>
      <c r="L498" s="1270"/>
      <c r="M498" s="1272"/>
      <c r="N498" s="1273"/>
      <c r="O498" s="1273"/>
      <c r="P498" s="1273"/>
      <c r="Q498" s="1274"/>
      <c r="R498" s="531" t="s">
        <v>752</v>
      </c>
      <c r="S498" s="383" t="str">
        <f>IF(ISBLANK(M498),"",VLOOKUP(M498,VPriorCap,2,FALSE))</f>
        <v/>
      </c>
      <c r="T498" s="151" t="s">
        <v>634</v>
      </c>
      <c r="U498" s="380"/>
      <c r="V498" s="380"/>
      <c r="W498" s="349"/>
      <c r="X498" s="380"/>
      <c r="Y498" s="380"/>
      <c r="Z498" s="380"/>
      <c r="AA498" s="380"/>
      <c r="AB498" s="380"/>
      <c r="AC498" s="380"/>
      <c r="AD498" s="198"/>
    </row>
    <row r="499" spans="1:38" ht="26.25" customHeight="1" x14ac:dyDescent="0.2">
      <c r="A499" s="1286" t="s">
        <v>636</v>
      </c>
      <c r="B499" s="1287"/>
      <c r="C499" s="1287"/>
      <c r="D499" s="1287"/>
      <c r="E499" s="1287"/>
      <c r="F499" s="1287"/>
      <c r="G499" s="1287"/>
      <c r="H499" s="1287"/>
      <c r="I499" s="1287"/>
      <c r="J499" s="1287"/>
      <c r="K499" s="1287"/>
      <c r="L499" s="1287"/>
      <c r="M499" s="1287"/>
      <c r="N499" s="1287"/>
      <c r="O499" s="1287"/>
      <c r="P499" s="1287"/>
      <c r="Q499" s="1288"/>
      <c r="R499" s="531" t="s">
        <v>752</v>
      </c>
      <c r="S499" s="386" t="str">
        <f>IF(ISBLANK(A500),"",A500)</f>
        <v/>
      </c>
      <c r="T499" s="151" t="s">
        <v>583</v>
      </c>
      <c r="U499" s="380"/>
      <c r="V499" s="380"/>
      <c r="W499" s="380"/>
      <c r="X499" s="380"/>
      <c r="Y499" s="380"/>
      <c r="Z499" s="380"/>
      <c r="AA499" s="380"/>
      <c r="AB499" s="380"/>
      <c r="AC499" s="380"/>
      <c r="AD499" s="198"/>
    </row>
    <row r="500" spans="1:38" ht="26.25" customHeight="1" x14ac:dyDescent="0.2">
      <c r="A500" s="1278"/>
      <c r="B500" s="1255"/>
      <c r="C500" s="1255"/>
      <c r="D500" s="1255"/>
      <c r="E500" s="1255"/>
      <c r="F500" s="1255"/>
      <c r="G500" s="1255"/>
      <c r="H500" s="1255"/>
      <c r="I500" s="1255"/>
      <c r="J500" s="1255"/>
      <c r="K500" s="1255"/>
      <c r="L500" s="1255"/>
      <c r="M500" s="1255"/>
      <c r="N500" s="1255"/>
      <c r="O500" s="1255"/>
      <c r="P500" s="1255"/>
      <c r="Q500" s="1285"/>
      <c r="R500" s="531" t="s">
        <v>752</v>
      </c>
      <c r="S500" s="380"/>
      <c r="T500" s="380"/>
      <c r="U500" s="380"/>
      <c r="V500" s="380"/>
      <c r="W500" s="380"/>
      <c r="X500" s="380"/>
      <c r="Y500" s="380"/>
      <c r="Z500" s="380"/>
      <c r="AA500" s="380"/>
      <c r="AB500" s="380"/>
      <c r="AC500" s="380"/>
      <c r="AD500" s="198"/>
    </row>
    <row r="501" spans="1:38" ht="26.25" customHeight="1" x14ac:dyDescent="0.2">
      <c r="A501" s="1289"/>
      <c r="B501" s="1290"/>
      <c r="C501" s="1290"/>
      <c r="D501" s="1290"/>
      <c r="E501" s="1290"/>
      <c r="F501" s="1290"/>
      <c r="G501" s="1290"/>
      <c r="H501" s="1290"/>
      <c r="I501" s="1290"/>
      <c r="J501" s="1290"/>
      <c r="K501" s="1290"/>
      <c r="L501" s="1290"/>
      <c r="M501" s="1290"/>
      <c r="N501" s="1290"/>
      <c r="O501" s="1290"/>
      <c r="P501" s="1290"/>
      <c r="Q501" s="1291"/>
      <c r="R501" s="531" t="s">
        <v>752</v>
      </c>
      <c r="S501" s="380"/>
      <c r="T501" s="380"/>
      <c r="U501" s="380"/>
      <c r="V501" s="380"/>
      <c r="W501" s="380"/>
      <c r="X501" s="380"/>
      <c r="Y501" s="380"/>
      <c r="Z501" s="380"/>
      <c r="AA501" s="380"/>
      <c r="AB501" s="380"/>
      <c r="AC501" s="380"/>
      <c r="AD501" s="198"/>
    </row>
    <row r="502" spans="1:38" ht="26.25" customHeight="1" x14ac:dyDescent="0.2">
      <c r="A502" s="1292" t="s">
        <v>638</v>
      </c>
      <c r="B502" s="1293"/>
      <c r="C502" s="1293"/>
      <c r="D502" s="1293"/>
      <c r="E502" s="1293"/>
      <c r="F502" s="1293"/>
      <c r="G502" s="1293"/>
      <c r="H502" s="1293"/>
      <c r="I502" s="1293"/>
      <c r="J502" s="1293"/>
      <c r="K502" s="1293"/>
      <c r="L502" s="1293"/>
      <c r="M502" s="1293"/>
      <c r="N502" s="1293"/>
      <c r="O502" s="1293"/>
      <c r="P502" s="1293"/>
      <c r="Q502" s="1294"/>
      <c r="R502" s="534" t="s">
        <v>752</v>
      </c>
      <c r="S502" s="382"/>
      <c r="T502" s="382"/>
      <c r="U502" s="382"/>
      <c r="V502" s="382"/>
      <c r="W502" s="380"/>
      <c r="X502" s="380"/>
      <c r="Y502" s="380"/>
      <c r="Z502" s="380"/>
      <c r="AA502" s="380"/>
      <c r="AB502" s="380"/>
      <c r="AC502" s="380"/>
      <c r="AD502" s="198"/>
    </row>
    <row r="503" spans="1:38" ht="26.25" customHeight="1" x14ac:dyDescent="0.2">
      <c r="A503" s="1278"/>
      <c r="B503" s="1255"/>
      <c r="C503" s="1255"/>
      <c r="D503" s="1255"/>
      <c r="E503" s="1255"/>
      <c r="F503" s="1255"/>
      <c r="G503" s="1255"/>
      <c r="H503" s="1255"/>
      <c r="I503" s="1255"/>
      <c r="J503" s="1255"/>
      <c r="K503" s="1255"/>
      <c r="L503" s="1255"/>
      <c r="M503" s="1255"/>
      <c r="N503" s="1255"/>
      <c r="O503" s="1255"/>
      <c r="P503" s="1255"/>
      <c r="Q503" s="1256"/>
      <c r="R503" s="534" t="s">
        <v>752</v>
      </c>
      <c r="S503" s="386" t="str">
        <f>IF(ISBLANK(A503),"",A503)</f>
        <v/>
      </c>
      <c r="T503" s="354" t="s">
        <v>194</v>
      </c>
      <c r="U503" s="380"/>
      <c r="V503" s="380"/>
      <c r="W503" s="380"/>
      <c r="X503" s="380"/>
      <c r="Y503" s="380"/>
      <c r="Z503" s="380"/>
      <c r="AA503" s="380"/>
      <c r="AB503" s="380"/>
      <c r="AC503" s="380"/>
      <c r="AD503" s="198"/>
    </row>
    <row r="504" spans="1:38" ht="26.25" customHeight="1" thickBot="1" x14ac:dyDescent="0.25">
      <c r="A504" s="1266"/>
      <c r="B504" s="1267"/>
      <c r="C504" s="1267"/>
      <c r="D504" s="1267"/>
      <c r="E504" s="1267"/>
      <c r="F504" s="1267"/>
      <c r="G504" s="1267"/>
      <c r="H504" s="1267"/>
      <c r="I504" s="1267"/>
      <c r="J504" s="1267"/>
      <c r="K504" s="1267"/>
      <c r="L504" s="1267"/>
      <c r="M504" s="1267"/>
      <c r="N504" s="1267"/>
      <c r="O504" s="1267"/>
      <c r="P504" s="1267"/>
      <c r="Q504" s="1268"/>
      <c r="R504" s="531" t="s">
        <v>752</v>
      </c>
      <c r="S504" s="380"/>
      <c r="T504" s="354"/>
      <c r="U504" s="380"/>
      <c r="V504" s="380"/>
      <c r="W504" s="380"/>
      <c r="X504" s="198"/>
      <c r="Y504" s="198"/>
      <c r="Z504" s="198"/>
      <c r="AA504" s="388"/>
      <c r="AB504" s="388"/>
      <c r="AC504" s="388"/>
      <c r="AD504" s="352"/>
    </row>
    <row r="505" spans="1:38" ht="26.25" customHeight="1" x14ac:dyDescent="0.2">
      <c r="A505" s="1260" t="s">
        <v>640</v>
      </c>
      <c r="B505" s="1261"/>
      <c r="C505" s="1261"/>
      <c r="D505" s="1261"/>
      <c r="E505" s="1261"/>
      <c r="F505" s="1261"/>
      <c r="G505" s="1261"/>
      <c r="H505" s="1261"/>
      <c r="I505" s="1261"/>
      <c r="J505" s="1261"/>
      <c r="K505" s="1261"/>
      <c r="L505" s="1261"/>
      <c r="M505" s="1261"/>
      <c r="N505" s="1261"/>
      <c r="O505" s="1261"/>
      <c r="P505" s="1261"/>
      <c r="Q505" s="1262"/>
      <c r="R505" s="531" t="s">
        <v>752</v>
      </c>
      <c r="S505" s="382" t="s">
        <v>641</v>
      </c>
      <c r="T505" s="378"/>
      <c r="U505" s="378"/>
      <c r="V505" s="378"/>
      <c r="W505" s="380"/>
      <c r="X505" s="378"/>
      <c r="Y505" s="378"/>
      <c r="Z505" s="378"/>
      <c r="AA505" s="394"/>
      <c r="AB505" s="394"/>
      <c r="AC505" s="394"/>
      <c r="AD505" s="352"/>
    </row>
    <row r="506" spans="1:38" ht="26.25" customHeight="1" x14ac:dyDescent="0.2">
      <c r="A506" s="1295" t="s">
        <v>642</v>
      </c>
      <c r="B506" s="1296"/>
      <c r="C506" s="1296"/>
      <c r="D506" s="1296"/>
      <c r="E506" s="1296"/>
      <c r="F506" s="1296"/>
      <c r="G506" s="1296"/>
      <c r="H506" s="1296"/>
      <c r="I506" s="1296"/>
      <c r="J506" s="1296"/>
      <c r="K506" s="1296"/>
      <c r="L506" s="1297"/>
      <c r="M506" s="1272"/>
      <c r="N506" s="1273"/>
      <c r="O506" s="1273"/>
      <c r="P506" s="1273"/>
      <c r="Q506" s="1274"/>
      <c r="R506" s="531" t="s">
        <v>752</v>
      </c>
      <c r="S506" s="387" t="str">
        <f>IF(ISBLANK(M506),"",VLOOKUP(M506,VImpact,2,FALSE))</f>
        <v/>
      </c>
      <c r="T506" s="151" t="s">
        <v>643</v>
      </c>
      <c r="U506" s="380"/>
      <c r="V506" s="380"/>
      <c r="W506" s="380"/>
      <c r="X506" s="380"/>
      <c r="Y506" s="380"/>
      <c r="Z506" s="380"/>
      <c r="AA506" s="198"/>
      <c r="AB506" s="198"/>
      <c r="AC506" s="198"/>
      <c r="AD506" s="352"/>
    </row>
    <row r="507" spans="1:38" ht="26.25" customHeight="1" x14ac:dyDescent="0.2">
      <c r="A507" s="1269" t="s">
        <v>644</v>
      </c>
      <c r="B507" s="1270"/>
      <c r="C507" s="1270"/>
      <c r="D507" s="1270"/>
      <c r="E507" s="1270"/>
      <c r="F507" s="1270"/>
      <c r="G507" s="1270"/>
      <c r="H507" s="1270"/>
      <c r="I507" s="1270"/>
      <c r="J507" s="1270"/>
      <c r="K507" s="1270"/>
      <c r="L507" s="1271"/>
      <c r="M507" s="1272"/>
      <c r="N507" s="1273"/>
      <c r="O507" s="1273"/>
      <c r="P507" s="1273"/>
      <c r="Q507" s="1274"/>
      <c r="R507" s="531" t="s">
        <v>752</v>
      </c>
      <c r="S507" s="387" t="str">
        <f>IF(ISBLANK(M507),"",VLOOKUP(M507,VEvidence,2,FALSE))</f>
        <v/>
      </c>
      <c r="T507" s="233" t="s">
        <v>645</v>
      </c>
      <c r="U507" s="380"/>
      <c r="V507" s="380"/>
      <c r="W507" s="380"/>
      <c r="X507" s="380"/>
      <c r="Y507" s="380"/>
      <c r="Z507" s="380"/>
      <c r="AA507" s="198"/>
      <c r="AB507" s="198"/>
      <c r="AC507" s="198"/>
      <c r="AD507" s="352"/>
      <c r="AL507" s="200"/>
    </row>
    <row r="508" spans="1:38" ht="26.25" customHeight="1" x14ac:dyDescent="0.2">
      <c r="A508" s="1275" t="s">
        <v>646</v>
      </c>
      <c r="B508" s="1276"/>
      <c r="C508" s="1276"/>
      <c r="D508" s="1276"/>
      <c r="E508" s="1276"/>
      <c r="F508" s="1276"/>
      <c r="G508" s="1276"/>
      <c r="H508" s="1276"/>
      <c r="I508" s="1276"/>
      <c r="J508" s="1276"/>
      <c r="K508" s="1276"/>
      <c r="L508" s="1276"/>
      <c r="M508" s="1276"/>
      <c r="N508" s="1276"/>
      <c r="O508" s="1276"/>
      <c r="P508" s="1276"/>
      <c r="Q508" s="1277"/>
      <c r="R508" s="531" t="s">
        <v>752</v>
      </c>
      <c r="S508" s="386" t="str">
        <f>IF(ISBLANK(A509),"",A509)</f>
        <v/>
      </c>
      <c r="T508" s="354" t="s">
        <v>193</v>
      </c>
      <c r="U508" s="380"/>
      <c r="V508" s="380"/>
      <c r="W508" s="198"/>
      <c r="X508" s="380"/>
      <c r="Y508" s="380"/>
      <c r="Z508" s="380"/>
      <c r="AA508" s="198"/>
      <c r="AB508" s="198"/>
      <c r="AC508" s="198"/>
      <c r="AD508" s="198"/>
      <c r="AL508" s="124"/>
    </row>
    <row r="509" spans="1:38" ht="26.25" customHeight="1" x14ac:dyDescent="0.2">
      <c r="A509" s="1278"/>
      <c r="B509" s="1255"/>
      <c r="C509" s="1255"/>
      <c r="D509" s="1255"/>
      <c r="E509" s="1255"/>
      <c r="F509" s="1255"/>
      <c r="G509" s="1255"/>
      <c r="H509" s="1255"/>
      <c r="I509" s="1255"/>
      <c r="J509" s="1255"/>
      <c r="K509" s="1255"/>
      <c r="L509" s="1255"/>
      <c r="M509" s="1255"/>
      <c r="N509" s="1255"/>
      <c r="O509" s="1255"/>
      <c r="P509" s="1255"/>
      <c r="Q509" s="1256"/>
      <c r="R509" s="531" t="s">
        <v>752</v>
      </c>
      <c r="S509" s="380"/>
      <c r="T509" s="389"/>
      <c r="U509" s="380"/>
      <c r="V509" s="380"/>
      <c r="W509" s="378"/>
      <c r="X509" s="380"/>
      <c r="Y509" s="380"/>
      <c r="Z509" s="380"/>
      <c r="AA509" s="198"/>
      <c r="AB509" s="198"/>
      <c r="AC509" s="198"/>
      <c r="AD509" s="198"/>
      <c r="AL509" s="124"/>
    </row>
    <row r="510" spans="1:38" ht="26.25" customHeight="1" x14ac:dyDescent="0.2">
      <c r="A510" s="1279"/>
      <c r="B510" s="1280"/>
      <c r="C510" s="1280"/>
      <c r="D510" s="1280"/>
      <c r="E510" s="1280"/>
      <c r="F510" s="1280"/>
      <c r="G510" s="1280"/>
      <c r="H510" s="1280"/>
      <c r="I510" s="1280"/>
      <c r="J510" s="1280"/>
      <c r="K510" s="1280"/>
      <c r="L510" s="1280"/>
      <c r="M510" s="1280"/>
      <c r="N510" s="1280"/>
      <c r="O510" s="1280"/>
      <c r="P510" s="1280"/>
      <c r="Q510" s="1281"/>
      <c r="R510" s="534" t="s">
        <v>752</v>
      </c>
      <c r="S510" s="380"/>
      <c r="T510" s="389"/>
      <c r="U510" s="380"/>
      <c r="V510" s="380"/>
      <c r="W510" s="380"/>
      <c r="X510" s="380"/>
      <c r="Y510" s="380"/>
      <c r="Z510" s="380"/>
      <c r="AA510" s="198"/>
      <c r="AB510" s="198"/>
      <c r="AC510" s="198"/>
      <c r="AD510" s="198"/>
      <c r="AL510" s="124"/>
    </row>
    <row r="511" spans="1:38" ht="26.25" customHeight="1" x14ac:dyDescent="0.2">
      <c r="A511" s="1282" t="s">
        <v>647</v>
      </c>
      <c r="B511" s="1283"/>
      <c r="C511" s="1283"/>
      <c r="D511" s="1283"/>
      <c r="E511" s="1283"/>
      <c r="F511" s="1283"/>
      <c r="G511" s="1283"/>
      <c r="H511" s="1283"/>
      <c r="I511" s="1283"/>
      <c r="J511" s="1283"/>
      <c r="K511" s="1283"/>
      <c r="L511" s="1283"/>
      <c r="M511" s="1283"/>
      <c r="N511" s="1283"/>
      <c r="O511" s="1283"/>
      <c r="P511" s="1283"/>
      <c r="Q511" s="1284"/>
      <c r="R511" s="534" t="s">
        <v>752</v>
      </c>
      <c r="S511" s="386" t="str">
        <f>IF(ISBLANK(A512),"",A512)</f>
        <v/>
      </c>
      <c r="T511" s="389" t="s">
        <v>584</v>
      </c>
      <c r="U511" s="380"/>
      <c r="V511" s="380"/>
      <c r="W511" s="380"/>
      <c r="X511" s="380"/>
      <c r="Y511" s="380"/>
      <c r="Z511" s="380"/>
      <c r="AA511" s="349"/>
      <c r="AB511" s="349"/>
      <c r="AC511" s="349"/>
      <c r="AD511" s="399"/>
      <c r="AL511" s="124"/>
    </row>
    <row r="512" spans="1:38" ht="26.25" customHeight="1" x14ac:dyDescent="0.2">
      <c r="A512" s="1278"/>
      <c r="B512" s="1255"/>
      <c r="C512" s="1255"/>
      <c r="D512" s="1255"/>
      <c r="E512" s="1255"/>
      <c r="F512" s="1255"/>
      <c r="G512" s="1255"/>
      <c r="H512" s="1255"/>
      <c r="I512" s="1255"/>
      <c r="J512" s="1255"/>
      <c r="K512" s="1255"/>
      <c r="L512" s="1255"/>
      <c r="M512" s="1255"/>
      <c r="N512" s="1255"/>
      <c r="O512" s="1255"/>
      <c r="P512" s="1255"/>
      <c r="Q512" s="1285"/>
      <c r="R512" s="531" t="s">
        <v>752</v>
      </c>
      <c r="U512" s="380"/>
      <c r="V512" s="380"/>
      <c r="W512" s="380"/>
      <c r="X512" s="380"/>
      <c r="Y512" s="380"/>
      <c r="Z512" s="380"/>
      <c r="AA512" s="198"/>
      <c r="AB512" s="198"/>
      <c r="AC512" s="198"/>
      <c r="AD512" s="198"/>
      <c r="AL512" s="124"/>
    </row>
    <row r="513" spans="1:38" ht="26.25" customHeight="1" thickBot="1" x14ac:dyDescent="0.25">
      <c r="A513" s="1257"/>
      <c r="B513" s="1258"/>
      <c r="C513" s="1258"/>
      <c r="D513" s="1258"/>
      <c r="E513" s="1258"/>
      <c r="F513" s="1258"/>
      <c r="G513" s="1258"/>
      <c r="H513" s="1258"/>
      <c r="I513" s="1258"/>
      <c r="J513" s="1258"/>
      <c r="K513" s="1258"/>
      <c r="L513" s="1258"/>
      <c r="M513" s="1258"/>
      <c r="N513" s="1258"/>
      <c r="O513" s="1258"/>
      <c r="P513" s="1258"/>
      <c r="Q513" s="1259"/>
      <c r="R513" s="531" t="s">
        <v>752</v>
      </c>
      <c r="S513" s="380"/>
      <c r="T513" s="380"/>
      <c r="U513" s="380"/>
      <c r="V513" s="380"/>
      <c r="W513" s="380"/>
      <c r="X513" s="380"/>
      <c r="Y513" s="380"/>
      <c r="Z513" s="380"/>
      <c r="AA513" s="198"/>
      <c r="AB513" s="198"/>
      <c r="AC513" s="198"/>
      <c r="AD513" s="198"/>
      <c r="AL513" s="124"/>
    </row>
    <row r="514" spans="1:38" ht="26.25" customHeight="1" x14ac:dyDescent="0.2">
      <c r="A514" s="1251" t="s">
        <v>649</v>
      </c>
      <c r="B514" s="1252"/>
      <c r="C514" s="1252"/>
      <c r="D514" s="1252"/>
      <c r="E514" s="1252"/>
      <c r="F514" s="1252"/>
      <c r="G514" s="1252"/>
      <c r="H514" s="1252"/>
      <c r="I514" s="1252"/>
      <c r="J514" s="1252"/>
      <c r="K514" s="1252"/>
      <c r="L514" s="1252"/>
      <c r="M514" s="1252"/>
      <c r="N514" s="1252"/>
      <c r="O514" s="1252"/>
      <c r="P514" s="1252"/>
      <c r="Q514" s="1253"/>
      <c r="R514" s="531" t="s">
        <v>752</v>
      </c>
      <c r="S514" s="392" t="str">
        <f>IF(ISBLANK(A515),"",A515)</f>
        <v/>
      </c>
      <c r="T514" s="393" t="s">
        <v>650</v>
      </c>
      <c r="W514" s="380"/>
      <c r="X514" s="380"/>
      <c r="Y514" s="380"/>
      <c r="Z514" s="380"/>
      <c r="AA514" s="198"/>
      <c r="AB514" s="198"/>
      <c r="AC514" s="198"/>
      <c r="AD514" s="352"/>
      <c r="AL514" s="124"/>
    </row>
    <row r="515" spans="1:38" ht="26.25" customHeight="1" x14ac:dyDescent="0.25">
      <c r="A515" s="1254"/>
      <c r="B515" s="1255"/>
      <c r="C515" s="1255"/>
      <c r="D515" s="1255"/>
      <c r="E515" s="1255"/>
      <c r="F515" s="1255"/>
      <c r="G515" s="1255"/>
      <c r="H515" s="1255"/>
      <c r="I515" s="1255"/>
      <c r="J515" s="1255"/>
      <c r="K515" s="1255"/>
      <c r="L515" s="1255"/>
      <c r="M515" s="1255"/>
      <c r="N515" s="1255"/>
      <c r="O515" s="1255"/>
      <c r="P515" s="1255"/>
      <c r="Q515" s="1256"/>
      <c r="R515" s="531" t="s">
        <v>752</v>
      </c>
      <c r="W515" s="380"/>
      <c r="X515" s="388"/>
      <c r="Y515" s="388"/>
      <c r="Z515" s="388"/>
      <c r="AA515" s="349"/>
      <c r="AB515" s="349"/>
      <c r="AC515" s="349"/>
      <c r="AD515" s="385"/>
      <c r="AL515" s="124"/>
    </row>
    <row r="516" spans="1:38" ht="26.25" customHeight="1" thickBot="1" x14ac:dyDescent="0.25">
      <c r="A516" s="1257"/>
      <c r="B516" s="1258"/>
      <c r="C516" s="1258"/>
      <c r="D516" s="1258"/>
      <c r="E516" s="1258"/>
      <c r="F516" s="1258"/>
      <c r="G516" s="1258"/>
      <c r="H516" s="1258"/>
      <c r="I516" s="1258"/>
      <c r="J516" s="1258"/>
      <c r="K516" s="1258"/>
      <c r="L516" s="1258"/>
      <c r="M516" s="1258"/>
      <c r="N516" s="1258"/>
      <c r="O516" s="1258"/>
      <c r="P516" s="1258"/>
      <c r="Q516" s="1259"/>
      <c r="R516" s="531" t="s">
        <v>752</v>
      </c>
      <c r="S516" s="352"/>
      <c r="T516" s="352"/>
      <c r="U516" s="352"/>
      <c r="V516" s="352"/>
      <c r="W516" s="380"/>
      <c r="X516" s="378"/>
      <c r="Y516" s="378"/>
      <c r="Z516" s="378"/>
      <c r="AA516" s="380"/>
      <c r="AB516" s="380"/>
      <c r="AC516" s="380"/>
      <c r="AD516" s="198"/>
      <c r="AL516" s="124"/>
    </row>
    <row r="517" spans="1:38" ht="26.25" customHeight="1" x14ac:dyDescent="0.25">
      <c r="A517" s="1260" t="s">
        <v>651</v>
      </c>
      <c r="B517" s="1261"/>
      <c r="C517" s="1261"/>
      <c r="D517" s="1261"/>
      <c r="E517" s="1261"/>
      <c r="F517" s="1261"/>
      <c r="G517" s="1261"/>
      <c r="H517" s="1261"/>
      <c r="I517" s="1261"/>
      <c r="J517" s="1261"/>
      <c r="K517" s="1261"/>
      <c r="L517" s="1261"/>
      <c r="M517" s="1261"/>
      <c r="N517" s="1261"/>
      <c r="O517" s="1261"/>
      <c r="P517" s="1261"/>
      <c r="Q517" s="1262"/>
      <c r="R517" s="531" t="s">
        <v>752</v>
      </c>
      <c r="S517" s="395"/>
      <c r="T517" s="396"/>
      <c r="U517" s="390"/>
      <c r="V517" s="390"/>
      <c r="W517" s="380"/>
      <c r="X517" s="380"/>
      <c r="Y517" s="380"/>
      <c r="Z517" s="380"/>
      <c r="AA517" s="380"/>
      <c r="AB517" s="380"/>
      <c r="AC517" s="380"/>
      <c r="AD517" s="385"/>
      <c r="AL517" s="200"/>
    </row>
    <row r="518" spans="1:38" ht="26.25" customHeight="1" x14ac:dyDescent="0.25">
      <c r="A518" s="1263"/>
      <c r="B518" s="1264"/>
      <c r="C518" s="1264"/>
      <c r="D518" s="1264"/>
      <c r="E518" s="1264"/>
      <c r="F518" s="1264"/>
      <c r="G518" s="1264"/>
      <c r="H518" s="1264"/>
      <c r="I518" s="1264"/>
      <c r="J518" s="1264"/>
      <c r="K518" s="1264"/>
      <c r="L518" s="1264"/>
      <c r="M518" s="1264"/>
      <c r="N518" s="1264"/>
      <c r="O518" s="1264"/>
      <c r="P518" s="1264"/>
      <c r="Q518" s="1265"/>
      <c r="R518" s="531" t="s">
        <v>752</v>
      </c>
      <c r="S518" s="397" t="str">
        <f>IF(ISBLANK(A518),"",CONCATENATE(S517,A518))</f>
        <v/>
      </c>
      <c r="T518" s="354" t="s">
        <v>195</v>
      </c>
      <c r="U518" s="183"/>
      <c r="V518" s="183"/>
      <c r="W518" s="380"/>
      <c r="X518" s="380"/>
      <c r="Y518" s="380"/>
      <c r="Z518" s="380"/>
      <c r="AA518" s="380"/>
      <c r="AB518" s="380"/>
      <c r="AC518" s="380"/>
      <c r="AD518" s="385"/>
    </row>
    <row r="519" spans="1:38" ht="26.25" customHeight="1" thickBot="1" x14ac:dyDescent="0.3">
      <c r="A519" s="1266"/>
      <c r="B519" s="1267"/>
      <c r="C519" s="1267"/>
      <c r="D519" s="1267"/>
      <c r="E519" s="1267"/>
      <c r="F519" s="1267"/>
      <c r="G519" s="1267"/>
      <c r="H519" s="1267"/>
      <c r="I519" s="1267"/>
      <c r="J519" s="1267"/>
      <c r="K519" s="1267"/>
      <c r="L519" s="1267"/>
      <c r="M519" s="1267"/>
      <c r="N519" s="1267"/>
      <c r="O519" s="1267"/>
      <c r="P519" s="1267"/>
      <c r="Q519" s="1268"/>
      <c r="R519" s="531" t="s">
        <v>752</v>
      </c>
      <c r="S519" s="198"/>
      <c r="T519" s="198"/>
      <c r="U519" s="198"/>
      <c r="V519" s="198"/>
      <c r="W519" s="388"/>
      <c r="X519" s="380"/>
      <c r="Y519" s="380"/>
      <c r="Z519" s="380"/>
      <c r="AA519" s="380"/>
      <c r="AB519" s="380"/>
      <c r="AC519" s="380"/>
      <c r="AD519" s="385"/>
    </row>
    <row r="520" spans="1:38" ht="8.25" customHeight="1" x14ac:dyDescent="0.2">
      <c r="A520" s="875" t="s">
        <v>757</v>
      </c>
      <c r="B520" s="875"/>
      <c r="C520" s="875"/>
      <c r="D520" s="875"/>
      <c r="E520" s="875"/>
      <c r="F520" s="875"/>
      <c r="G520" s="875"/>
      <c r="H520" s="875"/>
      <c r="I520" s="875"/>
      <c r="J520" s="875"/>
      <c r="K520" s="875"/>
      <c r="L520" s="875"/>
      <c r="M520" s="875"/>
      <c r="N520" s="875"/>
      <c r="O520" s="875"/>
      <c r="P520" s="875"/>
      <c r="Q520" s="875"/>
      <c r="R520" s="875"/>
      <c r="S520" s="352"/>
      <c r="T520" s="352"/>
      <c r="U520" s="352"/>
      <c r="V520" s="352"/>
    </row>
    <row r="521" spans="1:38" ht="26.25" hidden="1" customHeight="1" x14ac:dyDescent="0.2">
      <c r="A521" s="352"/>
      <c r="B521" s="352"/>
      <c r="C521" s="352"/>
      <c r="D521" s="352"/>
      <c r="E521" s="352"/>
      <c r="F521" s="352"/>
      <c r="G521" s="352"/>
      <c r="H521" s="352"/>
      <c r="I521" s="352"/>
      <c r="J521" s="352"/>
      <c r="K521" s="352"/>
      <c r="L521" s="352"/>
      <c r="M521" s="352"/>
      <c r="N521" s="352"/>
      <c r="O521" s="352"/>
      <c r="P521" s="352"/>
      <c r="Q521" s="352"/>
      <c r="R521" s="352"/>
      <c r="S521" s="352"/>
      <c r="T521" s="352"/>
      <c r="U521" s="352"/>
      <c r="V521" s="352"/>
    </row>
    <row r="522" spans="1:38" ht="26.25" hidden="1" customHeight="1" x14ac:dyDescent="0.2">
      <c r="A522" s="352"/>
      <c r="B522" s="352"/>
      <c r="C522" s="352"/>
      <c r="D522" s="352"/>
      <c r="E522" s="352"/>
      <c r="F522" s="352"/>
      <c r="G522" s="352"/>
      <c r="H522" s="352"/>
      <c r="I522" s="352"/>
      <c r="J522" s="352"/>
      <c r="K522" s="352"/>
      <c r="L522" s="352"/>
      <c r="M522" s="352"/>
      <c r="N522" s="352"/>
      <c r="O522" s="352"/>
      <c r="P522" s="352"/>
      <c r="Q522" s="352"/>
      <c r="R522" s="352"/>
      <c r="S522" s="352"/>
      <c r="T522" s="352"/>
      <c r="U522" s="352"/>
      <c r="V522" s="352"/>
    </row>
    <row r="523" spans="1:38" ht="26.25" hidden="1" customHeight="1" x14ac:dyDescent="0.2">
      <c r="A523" s="352"/>
      <c r="B523" s="352"/>
      <c r="C523" s="352"/>
      <c r="D523" s="352"/>
      <c r="E523" s="352"/>
      <c r="F523" s="352"/>
      <c r="G523" s="352"/>
      <c r="H523" s="352"/>
      <c r="I523" s="352"/>
      <c r="J523" s="352"/>
      <c r="K523" s="352"/>
      <c r="L523" s="352"/>
      <c r="M523" s="352"/>
      <c r="N523" s="352"/>
      <c r="O523" s="352"/>
      <c r="P523" s="352"/>
      <c r="Q523" s="352"/>
      <c r="R523" s="352"/>
      <c r="S523" s="352"/>
      <c r="T523" s="352"/>
      <c r="U523" s="352"/>
      <c r="V523" s="352"/>
    </row>
    <row r="524" spans="1:38" ht="26.25" hidden="1" customHeight="1" x14ac:dyDescent="0.2">
      <c r="A524" s="352"/>
      <c r="B524" s="352"/>
      <c r="C524" s="352"/>
      <c r="D524" s="352"/>
      <c r="E524" s="352"/>
      <c r="F524" s="352"/>
      <c r="G524" s="352"/>
      <c r="H524" s="352"/>
      <c r="I524" s="352"/>
      <c r="J524" s="352"/>
      <c r="K524" s="352"/>
      <c r="L524" s="352"/>
      <c r="M524" s="352"/>
      <c r="N524" s="352"/>
      <c r="O524" s="352"/>
      <c r="P524" s="352"/>
      <c r="Q524" s="352"/>
      <c r="R524" s="352"/>
      <c r="S524" s="352"/>
      <c r="T524" s="352"/>
      <c r="U524" s="352"/>
      <c r="V524" s="352"/>
    </row>
    <row r="525" spans="1:38" ht="26.25" hidden="1" customHeight="1" x14ac:dyDescent="0.2">
      <c r="A525" s="352"/>
      <c r="B525" s="352"/>
      <c r="C525" s="352"/>
      <c r="D525" s="352"/>
      <c r="E525" s="352"/>
      <c r="F525" s="352"/>
      <c r="G525" s="352"/>
      <c r="H525" s="352"/>
      <c r="I525" s="352"/>
      <c r="J525" s="352"/>
      <c r="K525" s="352"/>
      <c r="L525" s="352"/>
      <c r="M525" s="352"/>
      <c r="N525" s="352"/>
      <c r="O525" s="352"/>
      <c r="P525" s="352"/>
      <c r="Q525" s="352"/>
      <c r="R525" s="352"/>
      <c r="S525" s="352"/>
      <c r="T525" s="352"/>
      <c r="U525" s="352"/>
      <c r="V525" s="352"/>
    </row>
    <row r="526" spans="1:38" ht="26.25" hidden="1" customHeight="1" x14ac:dyDescent="0.2">
      <c r="A526" s="352"/>
      <c r="B526" s="352"/>
      <c r="C526" s="352"/>
      <c r="D526" s="352"/>
      <c r="E526" s="352"/>
      <c r="F526" s="352"/>
      <c r="G526" s="352"/>
      <c r="H526" s="352"/>
      <c r="I526" s="352"/>
      <c r="J526" s="352"/>
      <c r="K526" s="352"/>
      <c r="L526" s="352"/>
      <c r="M526" s="352"/>
      <c r="N526" s="352"/>
      <c r="O526" s="352"/>
      <c r="P526" s="352"/>
      <c r="Q526" s="352"/>
      <c r="R526" s="352"/>
      <c r="S526" s="352"/>
      <c r="T526" s="352"/>
      <c r="U526" s="352"/>
      <c r="V526" s="352"/>
    </row>
    <row r="527" spans="1:38" ht="26.25" hidden="1" customHeight="1" x14ac:dyDescent="0.2">
      <c r="A527" s="352"/>
      <c r="B527" s="352"/>
      <c r="C527" s="352"/>
      <c r="D527" s="352"/>
      <c r="E527" s="352"/>
      <c r="F527" s="352"/>
      <c r="G527" s="352"/>
      <c r="H527" s="352"/>
      <c r="I527" s="352"/>
      <c r="J527" s="352"/>
      <c r="K527" s="352"/>
      <c r="L527" s="352"/>
      <c r="M527" s="352"/>
      <c r="N527" s="352"/>
      <c r="O527" s="352"/>
      <c r="P527" s="352"/>
      <c r="Q527" s="352"/>
      <c r="R527" s="352"/>
      <c r="S527" s="352"/>
      <c r="T527" s="352"/>
      <c r="U527" s="352"/>
      <c r="V527" s="352"/>
    </row>
    <row r="528" spans="1:38" ht="26.25" hidden="1" customHeight="1" x14ac:dyDescent="0.2">
      <c r="A528" s="352"/>
      <c r="B528" s="352"/>
      <c r="C528" s="352"/>
      <c r="D528" s="352"/>
      <c r="E528" s="352"/>
      <c r="F528" s="352"/>
      <c r="G528" s="352"/>
      <c r="H528" s="352"/>
      <c r="I528" s="352"/>
      <c r="J528" s="352"/>
      <c r="K528" s="352"/>
      <c r="L528" s="352"/>
      <c r="M528" s="352"/>
      <c r="N528" s="352"/>
      <c r="O528" s="352"/>
      <c r="P528" s="352"/>
      <c r="Q528" s="352"/>
      <c r="R528" s="352"/>
      <c r="S528" s="352"/>
      <c r="T528" s="352"/>
      <c r="U528" s="352"/>
      <c r="V528" s="352"/>
    </row>
    <row r="529" spans="1:22" ht="26.25" hidden="1" customHeight="1" x14ac:dyDescent="0.2">
      <c r="A529" s="352"/>
      <c r="B529" s="352"/>
      <c r="C529" s="352"/>
      <c r="D529" s="352"/>
      <c r="E529" s="352"/>
      <c r="F529" s="352"/>
      <c r="G529" s="352"/>
      <c r="H529" s="352"/>
      <c r="I529" s="352"/>
      <c r="J529" s="352"/>
      <c r="K529" s="352"/>
      <c r="L529" s="352"/>
      <c r="M529" s="352"/>
      <c r="N529" s="352"/>
      <c r="O529" s="352"/>
      <c r="P529" s="352"/>
      <c r="Q529" s="352"/>
      <c r="R529" s="352"/>
      <c r="S529" s="352"/>
      <c r="T529" s="352"/>
      <c r="U529" s="352"/>
      <c r="V529" s="352"/>
    </row>
    <row r="530" spans="1:22" ht="26.25" hidden="1" customHeight="1" x14ac:dyDescent="0.2">
      <c r="A530" s="352"/>
      <c r="B530" s="352"/>
      <c r="C530" s="352"/>
      <c r="D530" s="352"/>
      <c r="E530" s="352"/>
      <c r="F530" s="352"/>
      <c r="G530" s="352"/>
      <c r="H530" s="352"/>
      <c r="I530" s="352"/>
      <c r="J530" s="352"/>
      <c r="K530" s="352"/>
      <c r="L530" s="352"/>
      <c r="M530" s="352"/>
      <c r="N530" s="352"/>
      <c r="O530" s="352"/>
      <c r="P530" s="352"/>
      <c r="Q530" s="352"/>
      <c r="R530" s="352"/>
      <c r="S530" s="352"/>
      <c r="T530" s="352"/>
      <c r="U530" s="352"/>
      <c r="V530" s="352"/>
    </row>
    <row r="531" spans="1:22" ht="26.25" hidden="1" customHeight="1" x14ac:dyDescent="0.2">
      <c r="A531" s="352"/>
      <c r="B531" s="352"/>
      <c r="C531" s="352"/>
      <c r="D531" s="352"/>
      <c r="E531" s="352"/>
      <c r="F531" s="352"/>
      <c r="G531" s="352"/>
      <c r="H531" s="352"/>
      <c r="I531" s="352"/>
      <c r="J531" s="352"/>
      <c r="K531" s="352"/>
      <c r="L531" s="352"/>
      <c r="M531" s="352"/>
      <c r="N531" s="352"/>
      <c r="O531" s="352"/>
      <c r="P531" s="352"/>
      <c r="Q531" s="352"/>
      <c r="R531" s="352"/>
      <c r="S531" s="352"/>
      <c r="T531" s="352"/>
      <c r="U531" s="352"/>
      <c r="V531" s="352"/>
    </row>
    <row r="532" spans="1:22" ht="26.25" hidden="1" customHeight="1" x14ac:dyDescent="0.2">
      <c r="A532" s="352"/>
      <c r="B532" s="352"/>
      <c r="C532" s="352"/>
      <c r="D532" s="352"/>
      <c r="E532" s="352"/>
      <c r="F532" s="352"/>
      <c r="G532" s="352"/>
      <c r="H532" s="352"/>
      <c r="I532" s="352"/>
      <c r="J532" s="352"/>
      <c r="K532" s="352"/>
      <c r="L532" s="352"/>
      <c r="M532" s="352"/>
      <c r="N532" s="352"/>
      <c r="O532" s="352"/>
      <c r="P532" s="352"/>
      <c r="Q532" s="352"/>
      <c r="R532" s="352"/>
      <c r="S532" s="352"/>
      <c r="T532" s="352"/>
      <c r="U532" s="352"/>
      <c r="V532" s="352"/>
    </row>
    <row r="533" spans="1:22" ht="26.25" hidden="1" customHeight="1" x14ac:dyDescent="0.2">
      <c r="A533" s="352"/>
      <c r="B533" s="352"/>
      <c r="C533" s="352"/>
      <c r="D533" s="352"/>
      <c r="E533" s="352"/>
      <c r="F533" s="352"/>
      <c r="G533" s="352"/>
      <c r="H533" s="352"/>
      <c r="I533" s="352"/>
      <c r="J533" s="352"/>
      <c r="K533" s="352"/>
      <c r="L533" s="352"/>
      <c r="M533" s="352"/>
      <c r="N533" s="352"/>
      <c r="O533" s="352"/>
      <c r="P533" s="352"/>
      <c r="Q533" s="352"/>
      <c r="R533" s="352"/>
      <c r="S533" s="352"/>
      <c r="T533" s="352"/>
      <c r="U533" s="352"/>
      <c r="V533" s="352"/>
    </row>
    <row r="534" spans="1:22" ht="26.25" hidden="1" customHeight="1" x14ac:dyDescent="0.2">
      <c r="A534" s="352"/>
      <c r="B534" s="352"/>
      <c r="C534" s="352"/>
      <c r="D534" s="352"/>
      <c r="E534" s="352"/>
      <c r="F534" s="352"/>
      <c r="G534" s="352"/>
      <c r="H534" s="352"/>
      <c r="I534" s="352"/>
      <c r="J534" s="352"/>
      <c r="K534" s="352"/>
      <c r="L534" s="352"/>
      <c r="M534" s="352"/>
      <c r="N534" s="352"/>
      <c r="O534" s="352"/>
      <c r="P534" s="352"/>
      <c r="Q534" s="352"/>
      <c r="R534" s="352"/>
      <c r="S534" s="352"/>
      <c r="T534" s="352"/>
      <c r="U534" s="352"/>
      <c r="V534" s="352"/>
    </row>
    <row r="535" spans="1:22" ht="26.25" hidden="1" customHeight="1" x14ac:dyDescent="0.2">
      <c r="A535" s="352"/>
      <c r="B535" s="352"/>
      <c r="C535" s="352"/>
      <c r="D535" s="352"/>
      <c r="E535" s="352"/>
      <c r="F535" s="352"/>
      <c r="G535" s="352"/>
      <c r="H535" s="352"/>
      <c r="I535" s="352"/>
      <c r="J535" s="352"/>
      <c r="K535" s="352"/>
      <c r="L535" s="352"/>
      <c r="M535" s="352"/>
      <c r="N535" s="352"/>
      <c r="O535" s="352"/>
      <c r="P535" s="352"/>
      <c r="Q535" s="352"/>
      <c r="R535" s="352"/>
      <c r="S535" s="352"/>
      <c r="T535" s="352"/>
      <c r="U535" s="352"/>
      <c r="V535" s="352"/>
    </row>
    <row r="536" spans="1:22" ht="26.25" hidden="1" customHeight="1" x14ac:dyDescent="0.2">
      <c r="A536" s="352"/>
      <c r="B536" s="352"/>
      <c r="C536" s="352"/>
      <c r="D536" s="352"/>
      <c r="E536" s="352"/>
      <c r="F536" s="352"/>
      <c r="G536" s="352"/>
      <c r="H536" s="352"/>
      <c r="I536" s="352"/>
      <c r="J536" s="352"/>
      <c r="K536" s="352"/>
      <c r="L536" s="352"/>
      <c r="M536" s="352"/>
      <c r="N536" s="352"/>
      <c r="O536" s="352"/>
      <c r="P536" s="352"/>
      <c r="Q536" s="352"/>
      <c r="R536" s="352"/>
      <c r="S536" s="352"/>
      <c r="T536" s="352"/>
      <c r="U536" s="352"/>
      <c r="V536" s="352"/>
    </row>
    <row r="537" spans="1:22" ht="26.25" hidden="1" customHeight="1" x14ac:dyDescent="0.2">
      <c r="A537" s="352"/>
      <c r="B537" s="352"/>
      <c r="C537" s="352"/>
      <c r="D537" s="352"/>
      <c r="E537" s="352"/>
      <c r="F537" s="352"/>
      <c r="G537" s="352"/>
      <c r="H537" s="352"/>
      <c r="I537" s="352"/>
      <c r="J537" s="352"/>
      <c r="K537" s="352"/>
      <c r="L537" s="352"/>
      <c r="M537" s="352"/>
      <c r="N537" s="352"/>
      <c r="O537" s="352"/>
      <c r="P537" s="352"/>
      <c r="Q537" s="352"/>
      <c r="R537" s="352"/>
      <c r="S537" s="352"/>
      <c r="T537" s="352"/>
      <c r="U537" s="352"/>
      <c r="V537" s="352"/>
    </row>
    <row r="538" spans="1:22" ht="26.25" hidden="1" customHeight="1" x14ac:dyDescent="0.2">
      <c r="A538" s="352"/>
      <c r="B538" s="352"/>
      <c r="C538" s="352"/>
      <c r="D538" s="352"/>
      <c r="E538" s="352"/>
      <c r="F538" s="352"/>
      <c r="G538" s="352"/>
      <c r="H538" s="352"/>
      <c r="I538" s="352"/>
      <c r="J538" s="352"/>
      <c r="K538" s="352"/>
      <c r="L538" s="352"/>
      <c r="M538" s="352"/>
      <c r="N538" s="352"/>
      <c r="O538" s="352"/>
      <c r="P538" s="352"/>
      <c r="Q538" s="352"/>
      <c r="R538" s="352"/>
      <c r="S538" s="352"/>
      <c r="T538" s="352"/>
      <c r="U538" s="352"/>
      <c r="V538" s="352"/>
    </row>
    <row r="539" spans="1:22" ht="26.25" hidden="1" customHeight="1" x14ac:dyDescent="0.2">
      <c r="A539" s="352"/>
      <c r="B539" s="352"/>
      <c r="C539" s="352"/>
      <c r="D539" s="352"/>
      <c r="E539" s="352"/>
      <c r="F539" s="352"/>
      <c r="G539" s="352"/>
      <c r="H539" s="352"/>
      <c r="I539" s="352"/>
      <c r="J539" s="352"/>
      <c r="K539" s="352"/>
      <c r="L539" s="352"/>
      <c r="M539" s="352"/>
      <c r="N539" s="352"/>
      <c r="O539" s="352"/>
      <c r="P539" s="352"/>
      <c r="Q539" s="352"/>
      <c r="R539" s="352"/>
      <c r="S539" s="352"/>
      <c r="T539" s="352"/>
      <c r="U539" s="352"/>
      <c r="V539" s="352"/>
    </row>
    <row r="540" spans="1:22" ht="26.25" hidden="1" customHeight="1" x14ac:dyDescent="0.2">
      <c r="A540" s="352"/>
      <c r="B540" s="352"/>
      <c r="C540" s="352"/>
      <c r="D540" s="352"/>
      <c r="E540" s="352"/>
      <c r="F540" s="352"/>
      <c r="G540" s="352"/>
      <c r="H540" s="352"/>
      <c r="I540" s="352"/>
      <c r="J540" s="352"/>
      <c r="K540" s="352"/>
      <c r="L540" s="352"/>
      <c r="M540" s="352"/>
      <c r="N540" s="352"/>
      <c r="O540" s="352"/>
      <c r="P540" s="352"/>
      <c r="Q540" s="352"/>
      <c r="R540" s="352"/>
      <c r="S540" s="352"/>
      <c r="T540" s="352"/>
      <c r="U540" s="352"/>
      <c r="V540" s="352"/>
    </row>
    <row r="541" spans="1:22" ht="26.25" hidden="1" customHeight="1" x14ac:dyDescent="0.2">
      <c r="A541" s="352"/>
      <c r="B541" s="352"/>
      <c r="C541" s="352"/>
      <c r="D541" s="352"/>
      <c r="E541" s="352"/>
      <c r="F541" s="352"/>
      <c r="G541" s="352"/>
      <c r="H541" s="352"/>
      <c r="I541" s="352"/>
      <c r="J541" s="352"/>
      <c r="K541" s="352"/>
      <c r="L541" s="352"/>
      <c r="M541" s="352"/>
      <c r="N541" s="352"/>
      <c r="O541" s="352"/>
      <c r="P541" s="352"/>
      <c r="Q541" s="352"/>
      <c r="R541" s="352"/>
      <c r="S541" s="352"/>
      <c r="T541" s="352"/>
      <c r="U541" s="352"/>
      <c r="V541" s="352"/>
    </row>
    <row r="542" spans="1:22" ht="26.25" hidden="1" customHeight="1" x14ac:dyDescent="0.2">
      <c r="A542" s="352"/>
      <c r="B542" s="352"/>
      <c r="C542" s="352"/>
      <c r="D542" s="352"/>
      <c r="E542" s="352"/>
      <c r="F542" s="352"/>
      <c r="G542" s="352"/>
      <c r="H542" s="352"/>
      <c r="I542" s="352"/>
      <c r="J542" s="352"/>
      <c r="K542" s="352"/>
      <c r="L542" s="352"/>
      <c r="M542" s="352"/>
      <c r="N542" s="352"/>
      <c r="O542" s="352"/>
      <c r="P542" s="352"/>
      <c r="Q542" s="352"/>
      <c r="R542" s="352"/>
      <c r="S542" s="352"/>
      <c r="T542" s="352"/>
      <c r="U542" s="352"/>
      <c r="V542" s="352"/>
    </row>
    <row r="543" spans="1:22" ht="26.25" hidden="1" customHeight="1" x14ac:dyDescent="0.2">
      <c r="A543" s="352"/>
      <c r="B543" s="352"/>
      <c r="C543" s="352"/>
      <c r="D543" s="352"/>
      <c r="E543" s="352"/>
      <c r="F543" s="352"/>
      <c r="G543" s="352"/>
      <c r="H543" s="352"/>
      <c r="I543" s="352"/>
      <c r="J543" s="352"/>
      <c r="K543" s="352"/>
      <c r="L543" s="352"/>
      <c r="M543" s="352"/>
      <c r="N543" s="352"/>
      <c r="O543" s="352"/>
      <c r="P543" s="352"/>
      <c r="Q543" s="352"/>
      <c r="R543" s="352"/>
      <c r="S543" s="352"/>
      <c r="T543" s="352"/>
      <c r="U543" s="352"/>
      <c r="V543" s="352"/>
    </row>
    <row r="544" spans="1:22" ht="26.25" hidden="1" customHeight="1" x14ac:dyDescent="0.2">
      <c r="A544" s="352"/>
      <c r="B544" s="352"/>
      <c r="C544" s="352"/>
      <c r="D544" s="352"/>
      <c r="E544" s="352"/>
      <c r="F544" s="352"/>
      <c r="G544" s="352"/>
      <c r="H544" s="352"/>
      <c r="I544" s="352"/>
      <c r="J544" s="352"/>
      <c r="K544" s="352"/>
      <c r="L544" s="352"/>
      <c r="M544" s="352"/>
      <c r="N544" s="352"/>
      <c r="O544" s="352"/>
      <c r="P544" s="352"/>
      <c r="Q544" s="352"/>
      <c r="R544" s="352"/>
      <c r="S544" s="352"/>
      <c r="T544" s="352"/>
      <c r="U544" s="352"/>
      <c r="V544" s="352"/>
    </row>
    <row r="545" spans="1:22" ht="26.25" hidden="1" customHeight="1" x14ac:dyDescent="0.2">
      <c r="A545" s="352"/>
      <c r="B545" s="352"/>
      <c r="C545" s="352"/>
      <c r="D545" s="352"/>
      <c r="E545" s="352"/>
      <c r="F545" s="352"/>
      <c r="G545" s="352"/>
      <c r="H545" s="352"/>
      <c r="I545" s="352"/>
      <c r="J545" s="352"/>
      <c r="K545" s="352"/>
      <c r="L545" s="352"/>
      <c r="M545" s="352"/>
      <c r="N545" s="352"/>
      <c r="O545" s="352"/>
      <c r="P545" s="352"/>
      <c r="Q545" s="352"/>
      <c r="R545" s="352"/>
      <c r="S545" s="352"/>
      <c r="T545" s="352"/>
      <c r="U545" s="352"/>
      <c r="V545" s="352"/>
    </row>
    <row r="546" spans="1:22" ht="26.25" hidden="1" customHeight="1" x14ac:dyDescent="0.2">
      <c r="A546" s="352"/>
      <c r="B546" s="352"/>
      <c r="C546" s="352"/>
      <c r="D546" s="352"/>
      <c r="E546" s="352"/>
      <c r="F546" s="352"/>
      <c r="G546" s="352"/>
      <c r="H546" s="352"/>
      <c r="I546" s="352"/>
      <c r="J546" s="352"/>
      <c r="K546" s="352"/>
      <c r="L546" s="352"/>
      <c r="M546" s="352"/>
      <c r="N546" s="352"/>
      <c r="O546" s="352"/>
      <c r="P546" s="352"/>
      <c r="Q546" s="352"/>
      <c r="R546" s="352"/>
      <c r="S546" s="352"/>
      <c r="T546" s="352"/>
      <c r="U546" s="352"/>
      <c r="V546" s="352"/>
    </row>
    <row r="547" spans="1:22" ht="26.25" hidden="1" customHeight="1" x14ac:dyDescent="0.2">
      <c r="A547" s="352"/>
      <c r="B547" s="352"/>
      <c r="C547" s="352"/>
      <c r="D547" s="352"/>
      <c r="E547" s="352"/>
      <c r="F547" s="352"/>
      <c r="G547" s="352"/>
      <c r="H547" s="352"/>
      <c r="I547" s="352"/>
      <c r="J547" s="352"/>
      <c r="K547" s="352"/>
      <c r="L547" s="352"/>
      <c r="M547" s="352"/>
      <c r="N547" s="352"/>
      <c r="O547" s="352"/>
      <c r="P547" s="352"/>
      <c r="Q547" s="352"/>
      <c r="R547" s="352"/>
      <c r="S547" s="352"/>
      <c r="T547" s="352"/>
      <c r="U547" s="352"/>
      <c r="V547" s="352"/>
    </row>
    <row r="548" spans="1:22" ht="26.25" hidden="1" customHeight="1" x14ac:dyDescent="0.2">
      <c r="A548" s="352"/>
      <c r="B548" s="352"/>
      <c r="C548" s="352"/>
      <c r="D548" s="352"/>
      <c r="E548" s="352"/>
      <c r="F548" s="352"/>
      <c r="G548" s="352"/>
      <c r="H548" s="352"/>
      <c r="I548" s="352"/>
      <c r="J548" s="352"/>
      <c r="K548" s="352"/>
      <c r="L548" s="352"/>
      <c r="M548" s="352"/>
      <c r="N548" s="352"/>
      <c r="O548" s="352"/>
      <c r="P548" s="352"/>
      <c r="Q548" s="352"/>
      <c r="R548" s="352"/>
      <c r="S548" s="352"/>
      <c r="T548" s="352"/>
      <c r="U548" s="352"/>
      <c r="V548" s="352"/>
    </row>
    <row r="549" spans="1:22" ht="26.25" hidden="1" customHeight="1" x14ac:dyDescent="0.2">
      <c r="A549" s="352"/>
      <c r="B549" s="352"/>
      <c r="C549" s="352"/>
      <c r="D549" s="352"/>
      <c r="E549" s="352"/>
      <c r="F549" s="352"/>
      <c r="G549" s="352"/>
      <c r="H549" s="352"/>
      <c r="I549" s="352"/>
      <c r="J549" s="352"/>
      <c r="K549" s="352"/>
      <c r="L549" s="352"/>
      <c r="M549" s="352"/>
      <c r="N549" s="352"/>
      <c r="O549" s="352"/>
      <c r="P549" s="352"/>
      <c r="Q549" s="352"/>
      <c r="R549" s="352"/>
      <c r="S549" s="352"/>
      <c r="T549" s="352"/>
      <c r="U549" s="352"/>
      <c r="V549" s="352"/>
    </row>
    <row r="550" spans="1:22" ht="26.25" hidden="1" customHeight="1" x14ac:dyDescent="0.2">
      <c r="A550" s="352"/>
      <c r="B550" s="352"/>
      <c r="C550" s="352"/>
      <c r="D550" s="352"/>
      <c r="E550" s="352"/>
      <c r="F550" s="352"/>
      <c r="G550" s="352"/>
      <c r="H550" s="352"/>
      <c r="I550" s="352"/>
      <c r="J550" s="352"/>
      <c r="K550" s="352"/>
      <c r="L550" s="352"/>
      <c r="M550" s="352"/>
      <c r="N550" s="352"/>
      <c r="O550" s="352"/>
      <c r="P550" s="352"/>
      <c r="Q550" s="352"/>
      <c r="R550" s="352"/>
      <c r="S550" s="352"/>
      <c r="T550" s="352"/>
      <c r="U550" s="352"/>
      <c r="V550" s="352"/>
    </row>
    <row r="551" spans="1:22" ht="26.25" hidden="1" customHeight="1" x14ac:dyDescent="0.2">
      <c r="A551" s="352"/>
      <c r="B551" s="352"/>
      <c r="C551" s="352"/>
      <c r="D551" s="352"/>
      <c r="E551" s="352"/>
      <c r="F551" s="352"/>
      <c r="G551" s="352"/>
      <c r="H551" s="352"/>
      <c r="I551" s="352"/>
      <c r="J551" s="352"/>
      <c r="K551" s="352"/>
      <c r="L551" s="352"/>
      <c r="M551" s="352"/>
      <c r="N551" s="352"/>
      <c r="O551" s="352"/>
      <c r="P551" s="352"/>
      <c r="Q551" s="352"/>
      <c r="R551" s="352"/>
      <c r="S551" s="352"/>
      <c r="T551" s="352"/>
      <c r="U551" s="352"/>
      <c r="V551" s="352"/>
    </row>
    <row r="552" spans="1:22" ht="26.25" hidden="1" customHeight="1" x14ac:dyDescent="0.2">
      <c r="A552" s="352"/>
      <c r="B552" s="352"/>
      <c r="C552" s="352"/>
      <c r="D552" s="352"/>
      <c r="E552" s="352"/>
      <c r="F552" s="352"/>
      <c r="G552" s="352"/>
      <c r="H552" s="352"/>
      <c r="I552" s="352"/>
      <c r="J552" s="352"/>
      <c r="K552" s="352"/>
      <c r="L552" s="352"/>
      <c r="M552" s="352"/>
      <c r="N552" s="352"/>
      <c r="O552" s="352"/>
      <c r="P552" s="352"/>
      <c r="Q552" s="352"/>
      <c r="R552" s="352"/>
      <c r="S552" s="352"/>
      <c r="T552" s="352"/>
      <c r="U552" s="352"/>
      <c r="V552" s="352"/>
    </row>
    <row r="553" spans="1:22" ht="26.25" hidden="1" customHeight="1" x14ac:dyDescent="0.2">
      <c r="A553" s="352"/>
      <c r="B553" s="352"/>
      <c r="C553" s="352"/>
      <c r="D553" s="352"/>
      <c r="E553" s="352"/>
      <c r="F553" s="352"/>
      <c r="G553" s="352"/>
      <c r="H553" s="352"/>
      <c r="I553" s="352"/>
      <c r="J553" s="352"/>
      <c r="K553" s="352"/>
      <c r="L553" s="352"/>
      <c r="M553" s="352"/>
      <c r="N553" s="352"/>
      <c r="O553" s="352"/>
      <c r="P553" s="352"/>
      <c r="Q553" s="352"/>
      <c r="R553" s="352"/>
      <c r="S553" s="352"/>
      <c r="T553" s="352"/>
      <c r="U553" s="352"/>
      <c r="V553" s="352"/>
    </row>
    <row r="554" spans="1:22" ht="26.25" hidden="1" customHeight="1" x14ac:dyDescent="0.2">
      <c r="A554" s="352"/>
      <c r="B554" s="352"/>
      <c r="C554" s="352"/>
      <c r="D554" s="352"/>
      <c r="E554" s="352"/>
      <c r="F554" s="352"/>
      <c r="G554" s="352"/>
      <c r="H554" s="352"/>
      <c r="I554" s="352"/>
      <c r="J554" s="352"/>
      <c r="K554" s="352"/>
      <c r="L554" s="352"/>
      <c r="M554" s="352"/>
      <c r="N554" s="352"/>
      <c r="O554" s="352"/>
      <c r="P554" s="352"/>
      <c r="Q554" s="352"/>
      <c r="R554" s="352"/>
      <c r="S554" s="352"/>
      <c r="T554" s="352"/>
      <c r="U554" s="352"/>
      <c r="V554" s="352"/>
    </row>
    <row r="555" spans="1:22" ht="26.25" hidden="1" customHeight="1" x14ac:dyDescent="0.2">
      <c r="A555" s="352"/>
      <c r="B555" s="352"/>
      <c r="C555" s="352"/>
      <c r="D555" s="352"/>
      <c r="E555" s="352"/>
      <c r="F555" s="352"/>
      <c r="G555" s="352"/>
      <c r="H555" s="352"/>
      <c r="I555" s="352"/>
      <c r="J555" s="352"/>
      <c r="K555" s="352"/>
      <c r="L555" s="352"/>
      <c r="M555" s="352"/>
      <c r="N555" s="352"/>
      <c r="O555" s="352"/>
      <c r="P555" s="352"/>
      <c r="Q555" s="352"/>
      <c r="R555" s="352"/>
      <c r="S555" s="352"/>
      <c r="T555" s="352"/>
      <c r="U555" s="352"/>
      <c r="V555" s="352"/>
    </row>
    <row r="556" spans="1:22" ht="26.25" hidden="1" customHeight="1" x14ac:dyDescent="0.2">
      <c r="A556" s="352"/>
      <c r="B556" s="352"/>
      <c r="C556" s="352"/>
      <c r="D556" s="352"/>
      <c r="E556" s="352"/>
      <c r="F556" s="352"/>
      <c r="G556" s="352"/>
      <c r="H556" s="352"/>
      <c r="I556" s="352"/>
      <c r="J556" s="352"/>
      <c r="K556" s="352"/>
      <c r="L556" s="352"/>
      <c r="M556" s="352"/>
      <c r="N556" s="352"/>
      <c r="O556" s="352"/>
      <c r="P556" s="352"/>
      <c r="Q556" s="352"/>
      <c r="R556" s="352"/>
      <c r="S556" s="352"/>
      <c r="T556" s="352"/>
      <c r="U556" s="352"/>
      <c r="V556" s="352"/>
    </row>
    <row r="557" spans="1:22" ht="26.25" hidden="1" customHeight="1" x14ac:dyDescent="0.2">
      <c r="A557" s="352"/>
      <c r="B557" s="352"/>
      <c r="C557" s="352"/>
      <c r="D557" s="352"/>
      <c r="E557" s="352"/>
      <c r="F557" s="352"/>
      <c r="G557" s="352"/>
      <c r="H557" s="352"/>
      <c r="I557" s="352"/>
      <c r="J557" s="352"/>
      <c r="K557" s="352"/>
      <c r="L557" s="352"/>
      <c r="M557" s="352"/>
      <c r="N557" s="352"/>
      <c r="O557" s="352"/>
      <c r="P557" s="352"/>
      <c r="Q557" s="352"/>
      <c r="R557" s="352"/>
      <c r="S557" s="352"/>
      <c r="T557" s="352"/>
      <c r="U557" s="352"/>
      <c r="V557" s="352"/>
    </row>
    <row r="558" spans="1:22" ht="26.25" hidden="1" customHeight="1" x14ac:dyDescent="0.2">
      <c r="A558" s="352"/>
      <c r="B558" s="352"/>
      <c r="C558" s="352"/>
      <c r="D558" s="352"/>
      <c r="E558" s="352"/>
      <c r="F558" s="352"/>
      <c r="G558" s="352"/>
      <c r="H558" s="352"/>
      <c r="I558" s="352"/>
      <c r="J558" s="352"/>
      <c r="K558" s="352"/>
      <c r="L558" s="352"/>
      <c r="M558" s="352"/>
      <c r="N558" s="352"/>
      <c r="O558" s="352"/>
      <c r="P558" s="352"/>
      <c r="Q558" s="352"/>
      <c r="R558" s="352"/>
      <c r="S558" s="352"/>
      <c r="T558" s="352"/>
      <c r="U558" s="352"/>
      <c r="V558" s="352"/>
    </row>
    <row r="559" spans="1:22" ht="26.25" hidden="1" customHeight="1" x14ac:dyDescent="0.2">
      <c r="A559" s="352"/>
      <c r="B559" s="352"/>
      <c r="C559" s="352"/>
      <c r="D559" s="352"/>
      <c r="E559" s="352"/>
      <c r="F559" s="352"/>
      <c r="G559" s="352"/>
      <c r="H559" s="352"/>
      <c r="I559" s="352"/>
      <c r="J559" s="352"/>
      <c r="K559" s="352"/>
      <c r="L559" s="352"/>
      <c r="M559" s="352"/>
      <c r="N559" s="352"/>
      <c r="O559" s="352"/>
      <c r="P559" s="352"/>
      <c r="Q559" s="352"/>
      <c r="R559" s="352"/>
      <c r="S559" s="352"/>
      <c r="T559" s="352"/>
      <c r="U559" s="352"/>
      <c r="V559" s="352"/>
    </row>
    <row r="560" spans="1:22" ht="26.25" hidden="1" customHeight="1" x14ac:dyDescent="0.2">
      <c r="A560" s="352"/>
      <c r="B560" s="352"/>
      <c r="C560" s="352"/>
      <c r="D560" s="352"/>
      <c r="E560" s="352"/>
      <c r="F560" s="352"/>
      <c r="G560" s="352"/>
      <c r="H560" s="352"/>
      <c r="I560" s="352"/>
      <c r="J560" s="352"/>
      <c r="K560" s="352"/>
      <c r="L560" s="352"/>
      <c r="M560" s="352"/>
      <c r="N560" s="352"/>
      <c r="O560" s="352"/>
      <c r="P560" s="352"/>
      <c r="Q560" s="352"/>
      <c r="R560" s="352"/>
      <c r="S560" s="352"/>
      <c r="T560" s="352"/>
      <c r="U560" s="352"/>
      <c r="V560" s="352"/>
    </row>
    <row r="561" spans="1:22" ht="26.25" hidden="1" customHeight="1" x14ac:dyDescent="0.2">
      <c r="A561" s="352"/>
      <c r="B561" s="352"/>
      <c r="C561" s="352"/>
      <c r="D561" s="352"/>
      <c r="E561" s="352"/>
      <c r="F561" s="352"/>
      <c r="G561" s="352"/>
      <c r="H561" s="352"/>
      <c r="I561" s="352"/>
      <c r="J561" s="352"/>
      <c r="K561" s="352"/>
      <c r="L561" s="352"/>
      <c r="M561" s="352"/>
      <c r="N561" s="352"/>
      <c r="O561" s="352"/>
      <c r="P561" s="352"/>
      <c r="Q561" s="352"/>
      <c r="R561" s="352"/>
      <c r="S561" s="352"/>
      <c r="T561" s="352"/>
      <c r="U561" s="352"/>
      <c r="V561" s="352"/>
    </row>
    <row r="562" spans="1:22" ht="26.25" hidden="1" customHeight="1" x14ac:dyDescent="0.2">
      <c r="A562" s="352"/>
      <c r="B562" s="352"/>
      <c r="C562" s="352"/>
      <c r="D562" s="352"/>
      <c r="E562" s="352"/>
      <c r="F562" s="352"/>
      <c r="G562" s="352"/>
      <c r="H562" s="352"/>
      <c r="I562" s="352"/>
      <c r="J562" s="352"/>
      <c r="K562" s="352"/>
      <c r="L562" s="352"/>
      <c r="M562" s="352"/>
      <c r="N562" s="352"/>
      <c r="O562" s="352"/>
      <c r="P562" s="352"/>
      <c r="Q562" s="352"/>
      <c r="R562" s="352"/>
      <c r="S562" s="352"/>
      <c r="T562" s="352"/>
      <c r="U562" s="352"/>
      <c r="V562" s="352"/>
    </row>
    <row r="563" spans="1:22" ht="26.25" hidden="1" customHeight="1" x14ac:dyDescent="0.2">
      <c r="A563" s="352"/>
      <c r="B563" s="352"/>
      <c r="C563" s="352"/>
      <c r="D563" s="352"/>
      <c r="E563" s="352"/>
      <c r="F563" s="352"/>
      <c r="G563" s="352"/>
      <c r="H563" s="352"/>
      <c r="I563" s="352"/>
      <c r="J563" s="352"/>
      <c r="K563" s="352"/>
      <c r="L563" s="352"/>
      <c r="M563" s="352"/>
      <c r="N563" s="352"/>
      <c r="O563" s="352"/>
      <c r="P563" s="352"/>
      <c r="Q563" s="352"/>
      <c r="R563" s="352"/>
      <c r="S563" s="352"/>
      <c r="T563" s="352"/>
      <c r="U563" s="352"/>
      <c r="V563" s="352"/>
    </row>
    <row r="564" spans="1:22" ht="26.25" hidden="1" customHeight="1" x14ac:dyDescent="0.2">
      <c r="A564" s="352"/>
      <c r="B564" s="352"/>
      <c r="C564" s="352"/>
      <c r="D564" s="352"/>
      <c r="E564" s="352"/>
      <c r="F564" s="352"/>
      <c r="G564" s="352"/>
      <c r="H564" s="352"/>
      <c r="I564" s="352"/>
      <c r="J564" s="352"/>
      <c r="K564" s="352"/>
      <c r="L564" s="352"/>
      <c r="M564" s="352"/>
      <c r="N564" s="352"/>
      <c r="O564" s="352"/>
      <c r="P564" s="352"/>
      <c r="Q564" s="352"/>
      <c r="R564" s="352"/>
      <c r="S564" s="352"/>
      <c r="T564" s="352"/>
      <c r="U564" s="352"/>
      <c r="V564" s="352"/>
    </row>
    <row r="565" spans="1:22" ht="26.25" hidden="1" customHeight="1" x14ac:dyDescent="0.2">
      <c r="A565" s="352"/>
      <c r="B565" s="352"/>
      <c r="C565" s="352"/>
      <c r="D565" s="352"/>
      <c r="E565" s="352"/>
      <c r="F565" s="352"/>
      <c r="G565" s="352"/>
      <c r="H565" s="352"/>
      <c r="I565" s="352"/>
      <c r="J565" s="352"/>
      <c r="K565" s="352"/>
      <c r="L565" s="352"/>
      <c r="M565" s="352"/>
      <c r="N565" s="352"/>
      <c r="O565" s="352"/>
      <c r="P565" s="352"/>
      <c r="Q565" s="352"/>
      <c r="R565" s="352"/>
      <c r="S565" s="352"/>
      <c r="T565" s="352"/>
      <c r="U565" s="352"/>
      <c r="V565" s="352"/>
    </row>
    <row r="566" spans="1:22" ht="26.25" hidden="1" customHeight="1" x14ac:dyDescent="0.2">
      <c r="A566" s="352"/>
      <c r="B566" s="352"/>
      <c r="C566" s="352"/>
      <c r="D566" s="352"/>
      <c r="E566" s="352"/>
      <c r="F566" s="352"/>
      <c r="G566" s="352"/>
      <c r="H566" s="352"/>
      <c r="I566" s="352"/>
      <c r="J566" s="352"/>
      <c r="K566" s="352"/>
      <c r="L566" s="352"/>
      <c r="M566" s="352"/>
      <c r="N566" s="352"/>
      <c r="O566" s="352"/>
      <c r="P566" s="352"/>
      <c r="Q566" s="352"/>
      <c r="R566" s="352"/>
      <c r="S566" s="352"/>
      <c r="T566" s="352"/>
      <c r="U566" s="352"/>
      <c r="V566" s="352"/>
    </row>
    <row r="567" spans="1:22" ht="26.25" hidden="1" customHeight="1" x14ac:dyDescent="0.2">
      <c r="A567" s="352"/>
      <c r="B567" s="352"/>
      <c r="C567" s="352"/>
      <c r="D567" s="352"/>
      <c r="E567" s="352"/>
      <c r="F567" s="352"/>
      <c r="G567" s="352"/>
      <c r="H567" s="352"/>
      <c r="I567" s="352"/>
      <c r="J567" s="352"/>
      <c r="K567" s="352"/>
      <c r="L567" s="352"/>
      <c r="M567" s="352"/>
      <c r="N567" s="352"/>
      <c r="O567" s="352"/>
      <c r="P567" s="352"/>
      <c r="Q567" s="352"/>
      <c r="R567" s="352"/>
      <c r="S567" s="352"/>
      <c r="T567" s="352"/>
      <c r="U567" s="352"/>
      <c r="V567" s="352"/>
    </row>
    <row r="568" spans="1:22" ht="26.25" hidden="1" customHeight="1" x14ac:dyDescent="0.2">
      <c r="A568" s="352"/>
      <c r="B568" s="352"/>
      <c r="C568" s="352"/>
      <c r="D568" s="352"/>
      <c r="E568" s="352"/>
      <c r="F568" s="352"/>
      <c r="G568" s="352"/>
      <c r="H568" s="352"/>
      <c r="I568" s="352"/>
      <c r="J568" s="352"/>
      <c r="K568" s="352"/>
      <c r="L568" s="352"/>
      <c r="M568" s="352"/>
      <c r="N568" s="352"/>
      <c r="O568" s="352"/>
      <c r="P568" s="352"/>
      <c r="Q568" s="352"/>
      <c r="R568" s="352"/>
      <c r="S568" s="352"/>
      <c r="T568" s="352"/>
      <c r="U568" s="352"/>
      <c r="V568" s="352"/>
    </row>
    <row r="569" spans="1:22" ht="26.25" hidden="1" customHeight="1" x14ac:dyDescent="0.2">
      <c r="A569" s="352"/>
      <c r="B569" s="352"/>
      <c r="C569" s="352"/>
      <c r="D569" s="352"/>
      <c r="E569" s="352"/>
      <c r="F569" s="352"/>
      <c r="G569" s="352"/>
      <c r="H569" s="352"/>
      <c r="I569" s="352"/>
      <c r="J569" s="352"/>
      <c r="K569" s="352"/>
      <c r="L569" s="352"/>
      <c r="M569" s="352"/>
      <c r="N569" s="352"/>
      <c r="O569" s="352"/>
      <c r="P569" s="352"/>
      <c r="Q569" s="352"/>
      <c r="R569" s="352"/>
      <c r="S569" s="352"/>
      <c r="T569" s="352"/>
      <c r="U569" s="352"/>
      <c r="V569" s="352"/>
    </row>
    <row r="570" spans="1:22" ht="26.25" hidden="1" customHeight="1" x14ac:dyDescent="0.2">
      <c r="A570" s="352"/>
      <c r="B570" s="352"/>
      <c r="C570" s="352"/>
      <c r="D570" s="352"/>
      <c r="E570" s="352"/>
      <c r="F570" s="352"/>
      <c r="G570" s="352"/>
      <c r="H570" s="352"/>
      <c r="I570" s="352"/>
      <c r="J570" s="352"/>
      <c r="K570" s="352"/>
      <c r="L570" s="352"/>
      <c r="M570" s="352"/>
      <c r="N570" s="352"/>
      <c r="O570" s="352"/>
      <c r="P570" s="352"/>
      <c r="Q570" s="352"/>
      <c r="R570" s="352"/>
      <c r="S570" s="352"/>
      <c r="T570" s="352"/>
      <c r="U570" s="352"/>
      <c r="V570" s="352"/>
    </row>
    <row r="571" spans="1:22" ht="26.25" hidden="1" customHeight="1" x14ac:dyDescent="0.2">
      <c r="A571" s="352"/>
      <c r="B571" s="352"/>
      <c r="C571" s="352"/>
      <c r="D571" s="352"/>
      <c r="E571" s="352"/>
      <c r="F571" s="352"/>
      <c r="G571" s="352"/>
      <c r="H571" s="352"/>
      <c r="I571" s="352"/>
      <c r="J571" s="352"/>
      <c r="K571" s="352"/>
      <c r="L571" s="352"/>
      <c r="M571" s="352"/>
      <c r="N571" s="352"/>
      <c r="O571" s="352"/>
      <c r="P571" s="352"/>
      <c r="Q571" s="352"/>
      <c r="R571" s="352"/>
      <c r="S571" s="352"/>
      <c r="T571" s="352"/>
      <c r="U571" s="352"/>
      <c r="V571" s="352"/>
    </row>
    <row r="572" spans="1:22" ht="26.25" hidden="1" customHeight="1" x14ac:dyDescent="0.2">
      <c r="A572" s="352"/>
      <c r="B572" s="352"/>
      <c r="C572" s="352"/>
      <c r="D572" s="352"/>
      <c r="E572" s="352"/>
      <c r="F572" s="352"/>
      <c r="G572" s="352"/>
      <c r="H572" s="352"/>
      <c r="I572" s="352"/>
      <c r="J572" s="352"/>
      <c r="K572" s="352"/>
      <c r="L572" s="352"/>
      <c r="M572" s="352"/>
      <c r="N572" s="352"/>
      <c r="O572" s="352"/>
      <c r="P572" s="352"/>
      <c r="Q572" s="352"/>
      <c r="R572" s="352"/>
      <c r="S572" s="352"/>
      <c r="T572" s="352"/>
      <c r="U572" s="352"/>
      <c r="V572" s="352"/>
    </row>
    <row r="573" spans="1:22" ht="26.25" hidden="1" customHeight="1" x14ac:dyDescent="0.2">
      <c r="A573" s="352"/>
      <c r="B573" s="352"/>
      <c r="C573" s="352"/>
      <c r="D573" s="352"/>
      <c r="E573" s="352"/>
      <c r="F573" s="352"/>
      <c r="G573" s="352"/>
      <c r="H573" s="352"/>
      <c r="I573" s="352"/>
      <c r="J573" s="352"/>
      <c r="K573" s="352"/>
      <c r="L573" s="352"/>
      <c r="M573" s="352"/>
      <c r="N573" s="352"/>
      <c r="O573" s="352"/>
      <c r="P573" s="352"/>
      <c r="Q573" s="352"/>
      <c r="R573" s="352"/>
      <c r="S573" s="352"/>
      <c r="T573" s="352"/>
      <c r="U573" s="352"/>
      <c r="V573" s="352"/>
    </row>
    <row r="574" spans="1:22" ht="26.25" hidden="1" customHeight="1" x14ac:dyDescent="0.2">
      <c r="A574" s="352"/>
      <c r="B574" s="352"/>
      <c r="C574" s="352"/>
      <c r="D574" s="352"/>
      <c r="E574" s="352"/>
      <c r="F574" s="352"/>
      <c r="G574" s="352"/>
      <c r="H574" s="352"/>
      <c r="I574" s="352"/>
      <c r="J574" s="352"/>
      <c r="K574" s="352"/>
      <c r="L574" s="352"/>
      <c r="M574" s="352"/>
      <c r="N574" s="352"/>
      <c r="O574" s="352"/>
      <c r="P574" s="352"/>
      <c r="Q574" s="352"/>
      <c r="R574" s="352"/>
      <c r="S574" s="352"/>
      <c r="T574" s="352"/>
      <c r="U574" s="352"/>
      <c r="V574" s="352"/>
    </row>
    <row r="575" spans="1:22" ht="26.25" hidden="1" customHeight="1" x14ac:dyDescent="0.2">
      <c r="A575" s="352"/>
      <c r="B575" s="352"/>
      <c r="C575" s="352"/>
      <c r="D575" s="352"/>
      <c r="E575" s="352"/>
      <c r="F575" s="352"/>
      <c r="G575" s="352"/>
      <c r="H575" s="352"/>
      <c r="I575" s="352"/>
      <c r="J575" s="352"/>
      <c r="K575" s="352"/>
      <c r="L575" s="352"/>
      <c r="M575" s="352"/>
      <c r="N575" s="352"/>
      <c r="O575" s="352"/>
      <c r="P575" s="352"/>
      <c r="Q575" s="352"/>
      <c r="R575" s="352"/>
      <c r="S575" s="352"/>
      <c r="T575" s="352"/>
      <c r="U575" s="352"/>
      <c r="V575" s="352"/>
    </row>
    <row r="576" spans="1:22" ht="26.25" hidden="1" customHeight="1" x14ac:dyDescent="0.2">
      <c r="A576" s="352"/>
      <c r="B576" s="352"/>
      <c r="C576" s="352"/>
      <c r="D576" s="352"/>
      <c r="E576" s="352"/>
      <c r="F576" s="352"/>
      <c r="G576" s="352"/>
      <c r="H576" s="352"/>
      <c r="I576" s="352"/>
      <c r="J576" s="352"/>
      <c r="K576" s="352"/>
      <c r="L576" s="352"/>
      <c r="M576" s="352"/>
      <c r="N576" s="352"/>
      <c r="O576" s="352"/>
      <c r="P576" s="352"/>
      <c r="Q576" s="352"/>
      <c r="R576" s="352"/>
      <c r="S576" s="352"/>
      <c r="T576" s="352"/>
      <c r="U576" s="352"/>
      <c r="V576" s="352"/>
    </row>
    <row r="577" spans="1:22" ht="26.25" hidden="1" customHeight="1" x14ac:dyDescent="0.2">
      <c r="A577" s="352"/>
      <c r="B577" s="352"/>
      <c r="C577" s="352"/>
      <c r="D577" s="352"/>
      <c r="E577" s="352"/>
      <c r="F577" s="352"/>
      <c r="G577" s="352"/>
      <c r="H577" s="352"/>
      <c r="I577" s="352"/>
      <c r="J577" s="352"/>
      <c r="K577" s="352"/>
      <c r="L577" s="352"/>
      <c r="M577" s="352"/>
      <c r="N577" s="352"/>
      <c r="O577" s="352"/>
      <c r="P577" s="352"/>
      <c r="Q577" s="352"/>
      <c r="R577" s="352"/>
      <c r="S577" s="352"/>
      <c r="T577" s="352"/>
      <c r="U577" s="352"/>
      <c r="V577" s="352"/>
    </row>
    <row r="578" spans="1:22" ht="26.25" hidden="1" customHeight="1" x14ac:dyDescent="0.2">
      <c r="A578" s="352"/>
      <c r="B578" s="352"/>
      <c r="C578" s="352"/>
      <c r="D578" s="352"/>
      <c r="E578" s="352"/>
      <c r="F578" s="352"/>
      <c r="G578" s="352"/>
      <c r="H578" s="352"/>
      <c r="I578" s="352"/>
      <c r="J578" s="352"/>
      <c r="K578" s="352"/>
      <c r="L578" s="352"/>
      <c r="M578" s="352"/>
      <c r="N578" s="352"/>
      <c r="O578" s="352"/>
      <c r="P578" s="352"/>
      <c r="Q578" s="352"/>
      <c r="R578" s="352"/>
      <c r="S578" s="352"/>
      <c r="T578" s="352"/>
      <c r="U578" s="352"/>
      <c r="V578" s="352"/>
    </row>
    <row r="579" spans="1:22" ht="26.25" hidden="1" customHeight="1" x14ac:dyDescent="0.2">
      <c r="A579" s="352"/>
      <c r="B579" s="352"/>
      <c r="C579" s="352"/>
      <c r="D579" s="352"/>
      <c r="E579" s="352"/>
      <c r="F579" s="352"/>
      <c r="G579" s="352"/>
      <c r="H579" s="352"/>
      <c r="I579" s="352"/>
      <c r="J579" s="352"/>
      <c r="K579" s="352"/>
      <c r="L579" s="352"/>
      <c r="M579" s="352"/>
      <c r="N579" s="352"/>
      <c r="O579" s="352"/>
      <c r="P579" s="352"/>
      <c r="Q579" s="352"/>
      <c r="R579" s="352"/>
      <c r="S579" s="352"/>
      <c r="T579" s="352"/>
      <c r="U579" s="352"/>
      <c r="V579" s="352"/>
    </row>
    <row r="580" spans="1:22" ht="26.25" hidden="1" customHeight="1" x14ac:dyDescent="0.2">
      <c r="A580" s="352"/>
      <c r="B580" s="352"/>
      <c r="C580" s="352"/>
      <c r="D580" s="352"/>
      <c r="E580" s="352"/>
      <c r="F580" s="352"/>
      <c r="G580" s="352"/>
      <c r="H580" s="352"/>
      <c r="I580" s="352"/>
      <c r="J580" s="352"/>
      <c r="K580" s="352"/>
      <c r="L580" s="352"/>
      <c r="M580" s="352"/>
      <c r="N580" s="352"/>
      <c r="O580" s="352"/>
      <c r="P580" s="352"/>
      <c r="Q580" s="352"/>
      <c r="R580" s="352"/>
      <c r="S580" s="352"/>
      <c r="T580" s="352"/>
      <c r="U580" s="352"/>
      <c r="V580" s="352"/>
    </row>
    <row r="581" spans="1:22" ht="26.25" hidden="1" customHeight="1" x14ac:dyDescent="0.2">
      <c r="A581" s="352"/>
      <c r="B581" s="352"/>
      <c r="C581" s="352"/>
      <c r="D581" s="352"/>
      <c r="E581" s="352"/>
      <c r="F581" s="352"/>
      <c r="G581" s="352"/>
      <c r="H581" s="352"/>
      <c r="I581" s="352"/>
      <c r="J581" s="352"/>
      <c r="K581" s="352"/>
      <c r="L581" s="352"/>
      <c r="M581" s="352"/>
      <c r="N581" s="352"/>
      <c r="O581" s="352"/>
      <c r="P581" s="352"/>
      <c r="Q581" s="352"/>
      <c r="R581" s="352"/>
      <c r="S581" s="352"/>
      <c r="T581" s="352"/>
      <c r="U581" s="352"/>
      <c r="V581" s="352"/>
    </row>
    <row r="582" spans="1:22" ht="26.25" hidden="1" customHeight="1" x14ac:dyDescent="0.2">
      <c r="A582" s="352"/>
      <c r="B582" s="352"/>
      <c r="C582" s="352"/>
      <c r="D582" s="352"/>
      <c r="E582" s="352"/>
      <c r="F582" s="352"/>
      <c r="G582" s="352"/>
      <c r="H582" s="352"/>
      <c r="I582" s="352"/>
      <c r="J582" s="352"/>
      <c r="K582" s="352"/>
      <c r="L582" s="352"/>
      <c r="M582" s="352"/>
      <c r="N582" s="352"/>
      <c r="O582" s="352"/>
      <c r="P582" s="352"/>
      <c r="Q582" s="352"/>
      <c r="R582" s="352"/>
      <c r="S582" s="352"/>
      <c r="T582" s="352"/>
      <c r="U582" s="352"/>
      <c r="V582" s="352"/>
    </row>
    <row r="583" spans="1:22" ht="26.25" hidden="1" customHeight="1" x14ac:dyDescent="0.2">
      <c r="A583" s="352"/>
      <c r="B583" s="352"/>
      <c r="C583" s="352"/>
      <c r="D583" s="352"/>
      <c r="E583" s="352"/>
      <c r="F583" s="352"/>
      <c r="G583" s="352"/>
      <c r="H583" s="352"/>
      <c r="I583" s="352"/>
      <c r="J583" s="352"/>
      <c r="K583" s="352"/>
      <c r="L583" s="352"/>
      <c r="M583" s="352"/>
      <c r="N583" s="352"/>
      <c r="O583" s="352"/>
      <c r="P583" s="352"/>
      <c r="Q583" s="352"/>
      <c r="R583" s="352"/>
      <c r="S583" s="352"/>
      <c r="T583" s="352"/>
      <c r="U583" s="352"/>
      <c r="V583" s="352"/>
    </row>
    <row r="584" spans="1:22" ht="26.25" hidden="1" customHeight="1" x14ac:dyDescent="0.2">
      <c r="A584" s="352"/>
      <c r="B584" s="352"/>
      <c r="C584" s="352"/>
      <c r="D584" s="352"/>
      <c r="E584" s="352"/>
      <c r="F584" s="352"/>
      <c r="G584" s="352"/>
      <c r="H584" s="352"/>
      <c r="I584" s="352"/>
      <c r="J584" s="352"/>
      <c r="K584" s="352"/>
      <c r="L584" s="352"/>
      <c r="M584" s="352"/>
      <c r="N584" s="352"/>
      <c r="O584" s="352"/>
      <c r="P584" s="352"/>
      <c r="Q584" s="352"/>
      <c r="R584" s="352"/>
      <c r="S584" s="352"/>
      <c r="T584" s="352"/>
      <c r="U584" s="352"/>
      <c r="V584" s="352"/>
    </row>
    <row r="585" spans="1:22" ht="26.25" hidden="1" customHeight="1" x14ac:dyDescent="0.2">
      <c r="A585" s="352"/>
      <c r="B585" s="352"/>
      <c r="C585" s="352"/>
      <c r="D585" s="352"/>
      <c r="E585" s="352"/>
      <c r="F585" s="352"/>
      <c r="G585" s="352"/>
      <c r="H585" s="352"/>
      <c r="I585" s="352"/>
      <c r="J585" s="352"/>
      <c r="K585" s="352"/>
      <c r="L585" s="352"/>
      <c r="M585" s="352"/>
      <c r="N585" s="352"/>
      <c r="O585" s="352"/>
      <c r="P585" s="352"/>
      <c r="Q585" s="352"/>
      <c r="R585" s="352"/>
      <c r="S585" s="352"/>
      <c r="T585" s="352"/>
      <c r="U585" s="352"/>
      <c r="V585" s="352"/>
    </row>
    <row r="586" spans="1:22" ht="26.25" hidden="1" customHeight="1" x14ac:dyDescent="0.2">
      <c r="A586" s="352"/>
      <c r="B586" s="352"/>
      <c r="C586" s="352"/>
      <c r="D586" s="352"/>
      <c r="E586" s="352"/>
      <c r="F586" s="352"/>
      <c r="G586" s="352"/>
      <c r="H586" s="352"/>
      <c r="I586" s="352"/>
      <c r="J586" s="352"/>
      <c r="K586" s="352"/>
      <c r="L586" s="352"/>
      <c r="M586" s="352"/>
      <c r="N586" s="352"/>
      <c r="O586" s="352"/>
      <c r="P586" s="352"/>
      <c r="Q586" s="352"/>
      <c r="R586" s="352"/>
      <c r="S586" s="352"/>
      <c r="T586" s="352"/>
      <c r="U586" s="352"/>
      <c r="V586" s="352"/>
    </row>
    <row r="587" spans="1:22" ht="26.25" hidden="1" customHeight="1" x14ac:dyDescent="0.2">
      <c r="A587" s="352"/>
      <c r="B587" s="352"/>
      <c r="C587" s="352"/>
      <c r="D587" s="352"/>
      <c r="E587" s="352"/>
      <c r="F587" s="352"/>
      <c r="G587" s="352"/>
      <c r="H587" s="352"/>
      <c r="I587" s="352"/>
      <c r="J587" s="352"/>
      <c r="K587" s="352"/>
      <c r="L587" s="352"/>
      <c r="M587" s="352"/>
      <c r="N587" s="352"/>
      <c r="O587" s="352"/>
      <c r="P587" s="352"/>
      <c r="Q587" s="352"/>
      <c r="R587" s="352"/>
      <c r="S587" s="352"/>
      <c r="T587" s="352"/>
      <c r="U587" s="352"/>
      <c r="V587" s="352"/>
    </row>
    <row r="588" spans="1:22" ht="26.25" hidden="1" customHeight="1" x14ac:dyDescent="0.2">
      <c r="A588" s="352"/>
      <c r="B588" s="352"/>
      <c r="C588" s="352"/>
      <c r="D588" s="352"/>
      <c r="E588" s="352"/>
      <c r="F588" s="352"/>
      <c r="G588" s="352"/>
      <c r="H588" s="352"/>
      <c r="I588" s="352"/>
      <c r="J588" s="352"/>
      <c r="K588" s="352"/>
      <c r="L588" s="352"/>
      <c r="M588" s="352"/>
      <c r="N588" s="352"/>
      <c r="O588" s="352"/>
      <c r="P588" s="352"/>
      <c r="Q588" s="352"/>
      <c r="R588" s="352"/>
      <c r="S588" s="352"/>
      <c r="T588" s="352"/>
      <c r="U588" s="352"/>
      <c r="V588" s="352"/>
    </row>
    <row r="589" spans="1:22" ht="26.25" hidden="1" customHeight="1" x14ac:dyDescent="0.2">
      <c r="A589" s="352"/>
      <c r="B589" s="352"/>
      <c r="C589" s="352"/>
      <c r="D589" s="352"/>
      <c r="E589" s="352"/>
      <c r="F589" s="352"/>
      <c r="G589" s="352"/>
      <c r="H589" s="352"/>
      <c r="I589" s="352"/>
      <c r="J589" s="352"/>
      <c r="K589" s="352"/>
      <c r="L589" s="352"/>
      <c r="M589" s="352"/>
      <c r="N589" s="352"/>
      <c r="O589" s="352"/>
      <c r="P589" s="352"/>
      <c r="Q589" s="352"/>
      <c r="R589" s="352"/>
      <c r="S589" s="352"/>
      <c r="T589" s="352"/>
      <c r="U589" s="352"/>
      <c r="V589" s="352"/>
    </row>
    <row r="590" spans="1:22" ht="26.25" hidden="1" customHeight="1" x14ac:dyDescent="0.2">
      <c r="A590" s="352"/>
      <c r="B590" s="352"/>
      <c r="C590" s="352"/>
      <c r="D590" s="352"/>
      <c r="E590" s="352"/>
      <c r="F590" s="352"/>
      <c r="G590" s="352"/>
      <c r="H590" s="352"/>
      <c r="I590" s="352"/>
      <c r="J590" s="352"/>
      <c r="K590" s="352"/>
      <c r="L590" s="352"/>
      <c r="M590" s="352"/>
      <c r="N590" s="352"/>
      <c r="O590" s="352"/>
      <c r="P590" s="352"/>
      <c r="Q590" s="352"/>
      <c r="R590" s="352"/>
      <c r="S590" s="352"/>
      <c r="T590" s="352"/>
      <c r="U590" s="352"/>
      <c r="V590" s="352"/>
    </row>
    <row r="591" spans="1:22" ht="26.25" hidden="1" customHeight="1" x14ac:dyDescent="0.2">
      <c r="A591" s="352"/>
      <c r="B591" s="352"/>
      <c r="C591" s="352"/>
      <c r="D591" s="352"/>
      <c r="E591" s="352"/>
      <c r="F591" s="352"/>
      <c r="G591" s="352"/>
      <c r="H591" s="352"/>
      <c r="I591" s="352"/>
      <c r="J591" s="352"/>
      <c r="K591" s="352"/>
      <c r="L591" s="352"/>
      <c r="M591" s="352"/>
      <c r="N591" s="352"/>
      <c r="O591" s="352"/>
      <c r="P591" s="352"/>
      <c r="Q591" s="352"/>
      <c r="R591" s="352"/>
      <c r="S591" s="352"/>
      <c r="T591" s="352"/>
      <c r="U591" s="352"/>
      <c r="V591" s="352"/>
    </row>
    <row r="592" spans="1:22" ht="26.25" hidden="1" customHeight="1" x14ac:dyDescent="0.2">
      <c r="A592" s="352"/>
      <c r="B592" s="352"/>
      <c r="C592" s="352"/>
      <c r="D592" s="352"/>
      <c r="E592" s="352"/>
      <c r="F592" s="352"/>
      <c r="G592" s="352"/>
      <c r="H592" s="352"/>
      <c r="I592" s="352"/>
      <c r="J592" s="352"/>
      <c r="K592" s="352"/>
      <c r="L592" s="352"/>
      <c r="M592" s="352"/>
      <c r="N592" s="352"/>
      <c r="O592" s="352"/>
      <c r="P592" s="352"/>
      <c r="Q592" s="352"/>
      <c r="R592" s="352"/>
      <c r="S592" s="352"/>
      <c r="T592" s="352"/>
      <c r="U592" s="352"/>
      <c r="V592" s="352"/>
    </row>
    <row r="593" spans="1:22" ht="26.25" hidden="1" customHeight="1" x14ac:dyDescent="0.2">
      <c r="A593" s="352"/>
      <c r="B593" s="352"/>
      <c r="C593" s="352"/>
      <c r="D593" s="352"/>
      <c r="E593" s="352"/>
      <c r="F593" s="352"/>
      <c r="G593" s="352"/>
      <c r="H593" s="352"/>
      <c r="I593" s="352"/>
      <c r="J593" s="352"/>
      <c r="K593" s="352"/>
      <c r="L593" s="352"/>
      <c r="M593" s="352"/>
      <c r="N593" s="352"/>
      <c r="O593" s="352"/>
      <c r="P593" s="352"/>
      <c r="Q593" s="352"/>
      <c r="R593" s="352"/>
      <c r="S593" s="352"/>
      <c r="T593" s="352"/>
      <c r="U593" s="352"/>
      <c r="V593" s="352"/>
    </row>
    <row r="594" spans="1:22" ht="26.25" hidden="1" customHeight="1" x14ac:dyDescent="0.2">
      <c r="A594" s="352"/>
      <c r="B594" s="352"/>
      <c r="C594" s="352"/>
      <c r="D594" s="352"/>
      <c r="E594" s="352"/>
      <c r="F594" s="352"/>
      <c r="G594" s="352"/>
      <c r="H594" s="352"/>
      <c r="I594" s="352"/>
      <c r="J594" s="352"/>
      <c r="K594" s="352"/>
      <c r="L594" s="352"/>
      <c r="M594" s="352"/>
      <c r="N594" s="352"/>
      <c r="O594" s="352"/>
      <c r="P594" s="352"/>
      <c r="Q594" s="352"/>
      <c r="R594" s="352"/>
      <c r="S594" s="352"/>
      <c r="T594" s="352"/>
      <c r="U594" s="352"/>
      <c r="V594" s="352"/>
    </row>
    <row r="595" spans="1:22" ht="26.25" hidden="1" customHeight="1" x14ac:dyDescent="0.2">
      <c r="A595" s="352"/>
      <c r="B595" s="352"/>
      <c r="C595" s="352"/>
      <c r="D595" s="352"/>
      <c r="E595" s="352"/>
      <c r="F595" s="352"/>
      <c r="G595" s="352"/>
      <c r="H595" s="352"/>
      <c r="I595" s="352"/>
      <c r="J595" s="352"/>
      <c r="K595" s="352"/>
      <c r="L595" s="352"/>
      <c r="M595" s="352"/>
      <c r="N595" s="352"/>
      <c r="O595" s="352"/>
      <c r="P595" s="352"/>
      <c r="Q595" s="352"/>
      <c r="R595" s="352"/>
      <c r="S595" s="352"/>
      <c r="T595" s="352"/>
      <c r="U595" s="352"/>
      <c r="V595" s="352"/>
    </row>
    <row r="596" spans="1:22" ht="26.25" hidden="1" customHeight="1" x14ac:dyDescent="0.2">
      <c r="A596" s="352"/>
      <c r="B596" s="352"/>
      <c r="C596" s="352"/>
      <c r="D596" s="352"/>
      <c r="E596" s="352"/>
      <c r="F596" s="352"/>
      <c r="G596" s="352"/>
      <c r="H596" s="352"/>
      <c r="I596" s="352"/>
      <c r="J596" s="352"/>
      <c r="K596" s="352"/>
      <c r="L596" s="352"/>
      <c r="M596" s="352"/>
      <c r="N596" s="352"/>
      <c r="O596" s="352"/>
      <c r="P596" s="352"/>
      <c r="Q596" s="352"/>
      <c r="R596" s="352"/>
      <c r="S596" s="352"/>
      <c r="T596" s="352"/>
      <c r="U596" s="352"/>
      <c r="V596" s="352"/>
    </row>
    <row r="597" spans="1:22" ht="26.25" hidden="1" customHeight="1" x14ac:dyDescent="0.2">
      <c r="A597" s="352"/>
      <c r="B597" s="352"/>
      <c r="C597" s="352"/>
      <c r="D597" s="352"/>
      <c r="E597" s="352"/>
      <c r="F597" s="352"/>
      <c r="G597" s="352"/>
      <c r="H597" s="352"/>
      <c r="I597" s="352"/>
      <c r="J597" s="352"/>
      <c r="K597" s="352"/>
      <c r="L597" s="352"/>
      <c r="M597" s="352"/>
      <c r="N597" s="352"/>
      <c r="O597" s="352"/>
      <c r="P597" s="352"/>
      <c r="Q597" s="352"/>
      <c r="R597" s="352"/>
      <c r="S597" s="352"/>
      <c r="T597" s="352"/>
      <c r="U597" s="352"/>
      <c r="V597" s="352"/>
    </row>
    <row r="598" spans="1:22" ht="26.25" hidden="1" customHeight="1" x14ac:dyDescent="0.2">
      <c r="A598" s="352"/>
      <c r="B598" s="352"/>
      <c r="C598" s="352"/>
      <c r="D598" s="352"/>
      <c r="E598" s="352"/>
      <c r="F598" s="352"/>
      <c r="G598" s="352"/>
      <c r="H598" s="352"/>
      <c r="I598" s="352"/>
      <c r="J598" s="352"/>
      <c r="K598" s="352"/>
      <c r="L598" s="352"/>
      <c r="M598" s="352"/>
      <c r="N598" s="352"/>
      <c r="O598" s="352"/>
      <c r="P598" s="352"/>
      <c r="Q598" s="352"/>
      <c r="R598" s="352"/>
      <c r="S598" s="352"/>
      <c r="T598" s="352"/>
      <c r="U598" s="352"/>
      <c r="V598" s="352"/>
    </row>
    <row r="599" spans="1:22" ht="26.25" hidden="1" customHeight="1" x14ac:dyDescent="0.2">
      <c r="A599" s="352"/>
      <c r="B599" s="352"/>
      <c r="C599" s="352"/>
      <c r="D599" s="352"/>
      <c r="E599" s="352"/>
      <c r="F599" s="352"/>
      <c r="G599" s="352"/>
      <c r="H599" s="352"/>
      <c r="I599" s="352"/>
      <c r="J599" s="352"/>
      <c r="K599" s="352"/>
      <c r="L599" s="352"/>
      <c r="M599" s="352"/>
      <c r="N599" s="352"/>
      <c r="O599" s="352"/>
      <c r="P599" s="352"/>
      <c r="Q599" s="352"/>
      <c r="R599" s="352"/>
      <c r="S599" s="352"/>
      <c r="T599" s="352"/>
      <c r="U599" s="352"/>
      <c r="V599" s="352"/>
    </row>
    <row r="600" spans="1:22" ht="26.25" hidden="1" customHeight="1" x14ac:dyDescent="0.2">
      <c r="A600" s="352"/>
      <c r="B600" s="352"/>
      <c r="C600" s="352"/>
      <c r="D600" s="352"/>
      <c r="E600" s="352"/>
      <c r="F600" s="352"/>
      <c r="G600" s="352"/>
      <c r="H600" s="352"/>
      <c r="I600" s="352"/>
      <c r="J600" s="352"/>
      <c r="K600" s="352"/>
      <c r="L600" s="352"/>
      <c r="M600" s="352"/>
      <c r="N600" s="352"/>
      <c r="O600" s="352"/>
      <c r="P600" s="352"/>
      <c r="Q600" s="352"/>
      <c r="R600" s="352"/>
      <c r="S600" s="352"/>
      <c r="T600" s="352"/>
      <c r="U600" s="352"/>
      <c r="V600" s="352"/>
    </row>
    <row r="601" spans="1:22" ht="26.25" hidden="1" customHeight="1" x14ac:dyDescent="0.2">
      <c r="A601" s="352"/>
      <c r="B601" s="352"/>
      <c r="C601" s="352"/>
      <c r="D601" s="352"/>
      <c r="E601" s="352"/>
      <c r="F601" s="352"/>
      <c r="G601" s="352"/>
      <c r="H601" s="352"/>
      <c r="I601" s="352"/>
      <c r="J601" s="352"/>
      <c r="K601" s="352"/>
      <c r="L601" s="352"/>
      <c r="M601" s="352"/>
      <c r="N601" s="352"/>
      <c r="O601" s="352"/>
      <c r="P601" s="352"/>
      <c r="Q601" s="352"/>
      <c r="R601" s="352"/>
      <c r="S601" s="352"/>
      <c r="T601" s="352"/>
      <c r="U601" s="352"/>
      <c r="V601" s="352"/>
    </row>
    <row r="602" spans="1:22" ht="26.25" hidden="1" customHeight="1" x14ac:dyDescent="0.2">
      <c r="A602" s="352"/>
      <c r="B602" s="352"/>
      <c r="C602" s="352"/>
      <c r="D602" s="352"/>
      <c r="E602" s="352"/>
      <c r="F602" s="352"/>
      <c r="G602" s="352"/>
      <c r="H602" s="352"/>
      <c r="I602" s="352"/>
      <c r="J602" s="352"/>
      <c r="K602" s="352"/>
      <c r="L602" s="352"/>
      <c r="M602" s="352"/>
      <c r="N602" s="352"/>
      <c r="O602" s="352"/>
      <c r="P602" s="352"/>
      <c r="Q602" s="352"/>
      <c r="R602" s="352"/>
      <c r="S602" s="352"/>
      <c r="T602" s="352"/>
      <c r="U602" s="352"/>
      <c r="V602" s="352"/>
    </row>
    <row r="603" spans="1:22" ht="26.25" hidden="1" customHeight="1" x14ac:dyDescent="0.2">
      <c r="A603" s="352"/>
      <c r="B603" s="352"/>
      <c r="C603" s="352"/>
      <c r="D603" s="352"/>
      <c r="E603" s="352"/>
      <c r="F603" s="352"/>
      <c r="G603" s="352"/>
      <c r="H603" s="352"/>
      <c r="I603" s="352"/>
      <c r="J603" s="352"/>
      <c r="K603" s="352"/>
      <c r="L603" s="352"/>
      <c r="M603" s="352"/>
      <c r="N603" s="352"/>
      <c r="O603" s="352"/>
      <c r="P603" s="352"/>
      <c r="Q603" s="352"/>
      <c r="R603" s="352"/>
      <c r="S603" s="352"/>
      <c r="T603" s="352"/>
      <c r="U603" s="352"/>
      <c r="V603" s="352"/>
    </row>
    <row r="604" spans="1:22" ht="26.25" hidden="1" customHeight="1" x14ac:dyDescent="0.2">
      <c r="A604" s="352"/>
      <c r="B604" s="352"/>
      <c r="C604" s="352"/>
      <c r="D604" s="352"/>
      <c r="E604" s="352"/>
      <c r="F604" s="352"/>
      <c r="G604" s="352"/>
      <c r="H604" s="352"/>
      <c r="I604" s="352"/>
      <c r="J604" s="352"/>
      <c r="K604" s="352"/>
      <c r="L604" s="352"/>
      <c r="M604" s="352"/>
      <c r="N604" s="352"/>
      <c r="O604" s="352"/>
      <c r="P604" s="352"/>
      <c r="Q604" s="352"/>
      <c r="R604" s="352"/>
      <c r="S604" s="352"/>
      <c r="T604" s="352"/>
      <c r="U604" s="352"/>
      <c r="V604" s="352"/>
    </row>
    <row r="605" spans="1:22" ht="26.25" hidden="1" customHeight="1" x14ac:dyDescent="0.2">
      <c r="A605" s="352"/>
      <c r="B605" s="352"/>
      <c r="C605" s="352"/>
      <c r="D605" s="352"/>
      <c r="E605" s="352"/>
      <c r="F605" s="352"/>
      <c r="G605" s="352"/>
      <c r="H605" s="352"/>
      <c r="I605" s="352"/>
      <c r="J605" s="352"/>
      <c r="K605" s="352"/>
      <c r="L605" s="352"/>
      <c r="M605" s="352"/>
      <c r="N605" s="352"/>
      <c r="O605" s="352"/>
      <c r="P605" s="352"/>
      <c r="Q605" s="352"/>
      <c r="R605" s="352"/>
      <c r="S605" s="352"/>
      <c r="T605" s="352"/>
      <c r="U605" s="352"/>
      <c r="V605" s="352"/>
    </row>
    <row r="606" spans="1:22" ht="26.25" hidden="1" customHeight="1" x14ac:dyDescent="0.2">
      <c r="A606" s="352"/>
      <c r="B606" s="352"/>
      <c r="C606" s="352"/>
      <c r="D606" s="352"/>
      <c r="E606" s="352"/>
      <c r="F606" s="352"/>
      <c r="G606" s="352"/>
      <c r="H606" s="352"/>
      <c r="I606" s="352"/>
      <c r="J606" s="352"/>
      <c r="K606" s="352"/>
      <c r="L606" s="352"/>
      <c r="M606" s="352"/>
      <c r="N606" s="352"/>
      <c r="O606" s="352"/>
      <c r="P606" s="352"/>
      <c r="Q606" s="352"/>
      <c r="R606" s="352"/>
      <c r="S606" s="352"/>
      <c r="T606" s="352"/>
      <c r="U606" s="352"/>
      <c r="V606" s="352"/>
    </row>
    <row r="607" spans="1:22" ht="26.25" hidden="1" customHeight="1" x14ac:dyDescent="0.2">
      <c r="A607" s="352"/>
      <c r="B607" s="352"/>
      <c r="C607" s="352"/>
      <c r="D607" s="352"/>
      <c r="E607" s="352"/>
      <c r="F607" s="352"/>
      <c r="G607" s="352"/>
      <c r="H607" s="352"/>
      <c r="I607" s="352"/>
      <c r="J607" s="352"/>
      <c r="K607" s="352"/>
      <c r="L607" s="352"/>
      <c r="M607" s="352"/>
      <c r="N607" s="352"/>
      <c r="O607" s="352"/>
      <c r="P607" s="352"/>
      <c r="Q607" s="352"/>
      <c r="R607" s="352"/>
      <c r="S607" s="352"/>
      <c r="T607" s="352"/>
      <c r="U607" s="352"/>
      <c r="V607" s="352"/>
    </row>
    <row r="608" spans="1:22" ht="26.25" hidden="1" customHeight="1" x14ac:dyDescent="0.2">
      <c r="A608" s="352"/>
      <c r="B608" s="352"/>
      <c r="C608" s="352"/>
      <c r="D608" s="352"/>
      <c r="E608" s="352"/>
      <c r="F608" s="352"/>
      <c r="G608" s="352"/>
      <c r="H608" s="352"/>
      <c r="I608" s="352"/>
      <c r="J608" s="352"/>
      <c r="K608" s="352"/>
      <c r="L608" s="352"/>
      <c r="M608" s="352"/>
      <c r="N608" s="352"/>
      <c r="O608" s="352"/>
      <c r="P608" s="352"/>
      <c r="Q608" s="352"/>
      <c r="R608" s="352"/>
      <c r="S608" s="352"/>
      <c r="T608" s="352"/>
      <c r="U608" s="352"/>
      <c r="V608" s="352"/>
    </row>
    <row r="609" spans="1:22" ht="26.25" hidden="1" customHeight="1" x14ac:dyDescent="0.2">
      <c r="A609" s="352"/>
      <c r="B609" s="352"/>
      <c r="C609" s="352"/>
      <c r="D609" s="352"/>
      <c r="E609" s="352"/>
      <c r="F609" s="352"/>
      <c r="G609" s="352"/>
      <c r="H609" s="352"/>
      <c r="I609" s="352"/>
      <c r="J609" s="352"/>
      <c r="K609" s="352"/>
      <c r="L609" s="352"/>
      <c r="M609" s="352"/>
      <c r="N609" s="352"/>
      <c r="O609" s="352"/>
      <c r="P609" s="352"/>
      <c r="Q609" s="352"/>
      <c r="R609" s="352"/>
      <c r="S609" s="352"/>
      <c r="T609" s="352"/>
      <c r="U609" s="352"/>
      <c r="V609" s="352"/>
    </row>
    <row r="610" spans="1:22" ht="26.25" hidden="1" customHeight="1" x14ac:dyDescent="0.2">
      <c r="A610" s="352"/>
      <c r="B610" s="352"/>
      <c r="C610" s="352"/>
      <c r="D610" s="352"/>
      <c r="E610" s="352"/>
      <c r="F610" s="352"/>
      <c r="G610" s="352"/>
      <c r="H610" s="352"/>
      <c r="I610" s="352"/>
      <c r="J610" s="352"/>
      <c r="K610" s="352"/>
      <c r="L610" s="352"/>
      <c r="M610" s="352"/>
      <c r="N610" s="352"/>
      <c r="O610" s="352"/>
      <c r="P610" s="352"/>
      <c r="Q610" s="352"/>
      <c r="R610" s="352"/>
      <c r="S610" s="352"/>
      <c r="T610" s="352"/>
      <c r="U610" s="352"/>
      <c r="V610" s="352"/>
    </row>
    <row r="611" spans="1:22" ht="26.25" hidden="1" customHeight="1" x14ac:dyDescent="0.2">
      <c r="A611" s="352"/>
      <c r="B611" s="352"/>
      <c r="C611" s="352"/>
      <c r="D611" s="352"/>
      <c r="E611" s="352"/>
      <c r="F611" s="352"/>
      <c r="G611" s="352"/>
      <c r="H611" s="352"/>
      <c r="I611" s="352"/>
      <c r="J611" s="352"/>
      <c r="K611" s="352"/>
      <c r="L611" s="352"/>
      <c r="M611" s="352"/>
      <c r="N611" s="352"/>
      <c r="O611" s="352"/>
      <c r="P611" s="352"/>
      <c r="Q611" s="352"/>
      <c r="R611" s="352"/>
      <c r="S611" s="352"/>
      <c r="T611" s="352"/>
      <c r="U611" s="352"/>
      <c r="V611" s="352"/>
    </row>
    <row r="612" spans="1:22" ht="26.25" hidden="1" customHeight="1" x14ac:dyDescent="0.2">
      <c r="A612" s="352"/>
      <c r="B612" s="352"/>
      <c r="C612" s="352"/>
      <c r="D612" s="352"/>
      <c r="E612" s="352"/>
      <c r="F612" s="352"/>
      <c r="G612" s="352"/>
      <c r="H612" s="352"/>
      <c r="I612" s="352"/>
      <c r="J612" s="352"/>
      <c r="K612" s="352"/>
      <c r="L612" s="352"/>
      <c r="M612" s="352"/>
      <c r="N612" s="352"/>
      <c r="O612" s="352"/>
      <c r="P612" s="352"/>
      <c r="Q612" s="352"/>
      <c r="R612" s="352"/>
      <c r="S612" s="352"/>
      <c r="T612" s="352"/>
      <c r="U612" s="352"/>
      <c r="V612" s="352"/>
    </row>
    <row r="613" spans="1:22" ht="26.25" hidden="1" customHeight="1" x14ac:dyDescent="0.2">
      <c r="A613" s="352"/>
      <c r="B613" s="352"/>
      <c r="C613" s="352"/>
      <c r="D613" s="352"/>
      <c r="E613" s="352"/>
      <c r="F613" s="352"/>
      <c r="G613" s="352"/>
      <c r="H613" s="352"/>
      <c r="I613" s="352"/>
      <c r="J613" s="352"/>
      <c r="K613" s="352"/>
      <c r="L613" s="352"/>
      <c r="M613" s="352"/>
      <c r="N613" s="352"/>
      <c r="O613" s="352"/>
      <c r="P613" s="352"/>
      <c r="Q613" s="352"/>
      <c r="R613" s="352"/>
      <c r="S613" s="352"/>
      <c r="T613" s="352"/>
      <c r="U613" s="352"/>
      <c r="V613" s="352"/>
    </row>
    <row r="614" spans="1:22" ht="26.25" hidden="1" customHeight="1" x14ac:dyDescent="0.2">
      <c r="A614" s="352"/>
      <c r="B614" s="352"/>
      <c r="C614" s="352"/>
      <c r="D614" s="352"/>
      <c r="E614" s="352"/>
      <c r="F614" s="352"/>
      <c r="G614" s="352"/>
      <c r="H614" s="352"/>
      <c r="I614" s="352"/>
      <c r="J614" s="352"/>
      <c r="K614" s="352"/>
      <c r="L614" s="352"/>
      <c r="M614" s="352"/>
      <c r="N614" s="352"/>
      <c r="O614" s="352"/>
      <c r="P614" s="352"/>
      <c r="Q614" s="352"/>
      <c r="R614" s="352"/>
      <c r="S614" s="352"/>
      <c r="T614" s="352"/>
      <c r="U614" s="352"/>
      <c r="V614" s="352"/>
    </row>
    <row r="615" spans="1:22" ht="26.25" hidden="1" customHeight="1" x14ac:dyDescent="0.2">
      <c r="A615" s="352"/>
      <c r="B615" s="352"/>
      <c r="C615" s="352"/>
      <c r="D615" s="352"/>
      <c r="E615" s="352"/>
      <c r="F615" s="352"/>
      <c r="G615" s="352"/>
      <c r="H615" s="352"/>
      <c r="I615" s="352"/>
      <c r="J615" s="352"/>
      <c r="K615" s="352"/>
      <c r="L615" s="352"/>
      <c r="M615" s="352"/>
      <c r="N615" s="352"/>
      <c r="O615" s="352"/>
      <c r="P615" s="352"/>
      <c r="Q615" s="352"/>
      <c r="R615" s="352"/>
      <c r="S615" s="352"/>
      <c r="T615" s="352"/>
      <c r="U615" s="352"/>
      <c r="V615" s="352"/>
    </row>
    <row r="616" spans="1:22" ht="26.25" hidden="1" customHeight="1" x14ac:dyDescent="0.2">
      <c r="A616" s="352"/>
      <c r="B616" s="352"/>
      <c r="C616" s="352"/>
      <c r="D616" s="352"/>
      <c r="E616" s="352"/>
      <c r="F616" s="352"/>
      <c r="G616" s="352"/>
      <c r="H616" s="352"/>
      <c r="I616" s="352"/>
      <c r="J616" s="352"/>
      <c r="K616" s="352"/>
      <c r="L616" s="352"/>
      <c r="M616" s="352"/>
      <c r="N616" s="352"/>
      <c r="O616" s="352"/>
      <c r="P616" s="352"/>
      <c r="Q616" s="352"/>
      <c r="R616" s="352"/>
      <c r="S616" s="352"/>
      <c r="T616" s="352"/>
      <c r="U616" s="352"/>
      <c r="V616" s="352"/>
    </row>
    <row r="617" spans="1:22" ht="26.25" hidden="1" customHeight="1" x14ac:dyDescent="0.2">
      <c r="A617" s="352"/>
      <c r="B617" s="352"/>
      <c r="C617" s="352"/>
      <c r="D617" s="352"/>
      <c r="E617" s="352"/>
      <c r="F617" s="352"/>
      <c r="G617" s="352"/>
      <c r="H617" s="352"/>
      <c r="I617" s="352"/>
      <c r="J617" s="352"/>
      <c r="K617" s="352"/>
      <c r="L617" s="352"/>
      <c r="M617" s="352"/>
      <c r="N617" s="352"/>
      <c r="O617" s="352"/>
      <c r="P617" s="352"/>
      <c r="Q617" s="352"/>
      <c r="R617" s="352"/>
      <c r="S617" s="352"/>
      <c r="T617" s="352"/>
      <c r="U617" s="352"/>
      <c r="V617" s="352"/>
    </row>
    <row r="618" spans="1:22" ht="26.25" hidden="1" customHeight="1" x14ac:dyDescent="0.2">
      <c r="A618" s="352"/>
      <c r="B618" s="352"/>
      <c r="C618" s="352"/>
      <c r="D618" s="352"/>
      <c r="E618" s="352"/>
      <c r="F618" s="352"/>
      <c r="G618" s="352"/>
      <c r="H618" s="352"/>
      <c r="I618" s="352"/>
      <c r="J618" s="352"/>
      <c r="K618" s="352"/>
      <c r="L618" s="352"/>
      <c r="M618" s="352"/>
      <c r="N618" s="352"/>
      <c r="O618" s="352"/>
      <c r="P618" s="352"/>
      <c r="Q618" s="352"/>
      <c r="R618" s="352"/>
      <c r="S618" s="352"/>
      <c r="T618" s="352"/>
      <c r="U618" s="352"/>
      <c r="V618" s="352"/>
    </row>
    <row r="619" spans="1:22" ht="26.25" hidden="1" customHeight="1" x14ac:dyDescent="0.2">
      <c r="A619" s="352"/>
      <c r="B619" s="352"/>
      <c r="C619" s="352"/>
      <c r="D619" s="352"/>
      <c r="E619" s="352"/>
      <c r="F619" s="352"/>
      <c r="G619" s="352"/>
      <c r="H619" s="352"/>
      <c r="I619" s="352"/>
      <c r="J619" s="352"/>
      <c r="K619" s="352"/>
      <c r="L619" s="352"/>
      <c r="M619" s="352"/>
      <c r="N619" s="352"/>
      <c r="O619" s="352"/>
      <c r="P619" s="352"/>
      <c r="Q619" s="352"/>
      <c r="R619" s="352"/>
      <c r="S619" s="352"/>
      <c r="T619" s="352"/>
      <c r="U619" s="352"/>
      <c r="V619" s="352"/>
    </row>
    <row r="620" spans="1:22" ht="26.25" hidden="1" customHeight="1" x14ac:dyDescent="0.2">
      <c r="A620" s="352"/>
      <c r="B620" s="352"/>
      <c r="C620" s="352"/>
      <c r="D620" s="352"/>
      <c r="E620" s="352"/>
      <c r="F620" s="352"/>
      <c r="G620" s="352"/>
      <c r="H620" s="352"/>
      <c r="I620" s="352"/>
      <c r="J620" s="352"/>
      <c r="K620" s="352"/>
      <c r="L620" s="352"/>
      <c r="M620" s="352"/>
      <c r="N620" s="352"/>
      <c r="O620" s="352"/>
      <c r="P620" s="352"/>
      <c r="Q620" s="352"/>
      <c r="R620" s="352"/>
      <c r="S620" s="352"/>
      <c r="T620" s="352"/>
      <c r="U620" s="352"/>
      <c r="V620" s="352"/>
    </row>
    <row r="621" spans="1:22" ht="26.25" hidden="1" customHeight="1" x14ac:dyDescent="0.2">
      <c r="A621" s="352"/>
      <c r="B621" s="352"/>
      <c r="C621" s="352"/>
      <c r="D621" s="352"/>
      <c r="E621" s="352"/>
      <c r="F621" s="352"/>
      <c r="G621" s="352"/>
      <c r="H621" s="352"/>
      <c r="I621" s="352"/>
      <c r="J621" s="352"/>
      <c r="K621" s="352"/>
      <c r="L621" s="352"/>
      <c r="M621" s="352"/>
      <c r="N621" s="352"/>
      <c r="O621" s="352"/>
      <c r="P621" s="352"/>
      <c r="Q621" s="352"/>
      <c r="R621" s="352"/>
      <c r="S621" s="352"/>
      <c r="T621" s="352"/>
      <c r="U621" s="352"/>
      <c r="V621" s="352"/>
    </row>
    <row r="622" spans="1:22" ht="26.25" hidden="1" customHeight="1" x14ac:dyDescent="0.2">
      <c r="A622" s="352"/>
      <c r="B622" s="352"/>
      <c r="C622" s="352"/>
      <c r="D622" s="352"/>
      <c r="E622" s="352"/>
      <c r="F622" s="352"/>
      <c r="G622" s="352"/>
      <c r="H622" s="352"/>
      <c r="I622" s="352"/>
      <c r="J622" s="352"/>
      <c r="K622" s="352"/>
      <c r="L622" s="352"/>
      <c r="M622" s="352"/>
      <c r="N622" s="352"/>
      <c r="O622" s="352"/>
      <c r="P622" s="352"/>
      <c r="Q622" s="352"/>
      <c r="R622" s="352"/>
      <c r="S622" s="352"/>
      <c r="T622" s="352"/>
      <c r="U622" s="352"/>
      <c r="V622" s="352"/>
    </row>
    <row r="623" spans="1:22" ht="26.25" hidden="1" customHeight="1" x14ac:dyDescent="0.2">
      <c r="A623" s="352"/>
      <c r="B623" s="352"/>
      <c r="C623" s="352"/>
      <c r="D623" s="352"/>
      <c r="E623" s="352"/>
      <c r="F623" s="352"/>
      <c r="G623" s="352"/>
      <c r="H623" s="352"/>
      <c r="I623" s="352"/>
      <c r="J623" s="352"/>
      <c r="K623" s="352"/>
      <c r="L623" s="352"/>
      <c r="M623" s="352"/>
      <c r="N623" s="352"/>
      <c r="O623" s="352"/>
      <c r="P623" s="352"/>
      <c r="Q623" s="352"/>
      <c r="R623" s="352"/>
      <c r="S623" s="352"/>
      <c r="T623" s="352"/>
      <c r="U623" s="352"/>
      <c r="V623" s="352"/>
    </row>
    <row r="624" spans="1:22" ht="26.25" hidden="1" customHeight="1" x14ac:dyDescent="0.2">
      <c r="A624" s="352"/>
      <c r="B624" s="352"/>
      <c r="C624" s="352"/>
      <c r="D624" s="352"/>
      <c r="E624" s="352"/>
      <c r="F624" s="352"/>
      <c r="G624" s="352"/>
      <c r="H624" s="352"/>
      <c r="I624" s="352"/>
      <c r="J624" s="352"/>
      <c r="K624" s="352"/>
      <c r="L624" s="352"/>
      <c r="M624" s="352"/>
      <c r="N624" s="352"/>
      <c r="O624" s="352"/>
      <c r="P624" s="352"/>
      <c r="Q624" s="352"/>
      <c r="R624" s="352"/>
      <c r="S624" s="352"/>
      <c r="T624" s="352"/>
      <c r="U624" s="352"/>
      <c r="V624" s="352"/>
    </row>
    <row r="625" spans="1:22" ht="26.25" hidden="1" customHeight="1" x14ac:dyDescent="0.2">
      <c r="A625" s="352"/>
      <c r="B625" s="352"/>
      <c r="C625" s="352"/>
      <c r="D625" s="352"/>
      <c r="E625" s="352"/>
      <c r="F625" s="352"/>
      <c r="G625" s="352"/>
      <c r="H625" s="352"/>
      <c r="I625" s="352"/>
      <c r="J625" s="352"/>
      <c r="K625" s="352"/>
      <c r="L625" s="352"/>
      <c r="M625" s="352"/>
      <c r="N625" s="352"/>
      <c r="O625" s="352"/>
      <c r="P625" s="352"/>
      <c r="Q625" s="352"/>
      <c r="R625" s="352"/>
      <c r="S625" s="352"/>
      <c r="T625" s="352"/>
      <c r="U625" s="352"/>
      <c r="V625" s="352"/>
    </row>
    <row r="626" spans="1:22" ht="26.25" hidden="1" customHeight="1" x14ac:dyDescent="0.2">
      <c r="A626" s="352"/>
      <c r="B626" s="352"/>
      <c r="C626" s="352"/>
      <c r="D626" s="352"/>
      <c r="E626" s="352"/>
      <c r="F626" s="352"/>
      <c r="G626" s="352"/>
      <c r="H626" s="352"/>
      <c r="I626" s="352"/>
      <c r="J626" s="352"/>
      <c r="K626" s="352"/>
      <c r="L626" s="352"/>
      <c r="M626" s="352"/>
      <c r="N626" s="352"/>
      <c r="O626" s="352"/>
      <c r="P626" s="352"/>
      <c r="Q626" s="352"/>
      <c r="R626" s="352"/>
      <c r="S626" s="352"/>
      <c r="T626" s="352"/>
      <c r="U626" s="352"/>
      <c r="V626" s="352"/>
    </row>
    <row r="627" spans="1:22" ht="26.25" hidden="1" customHeight="1" x14ac:dyDescent="0.2">
      <c r="A627" s="352"/>
      <c r="B627" s="352"/>
      <c r="C627" s="352"/>
      <c r="D627" s="352"/>
      <c r="E627" s="352"/>
      <c r="F627" s="352"/>
      <c r="G627" s="352"/>
      <c r="H627" s="352"/>
      <c r="I627" s="352"/>
      <c r="J627" s="352"/>
      <c r="K627" s="352"/>
      <c r="L627" s="352"/>
      <c r="M627" s="352"/>
      <c r="N627" s="352"/>
      <c r="O627" s="352"/>
      <c r="P627" s="352"/>
      <c r="Q627" s="352"/>
      <c r="R627" s="352"/>
      <c r="S627" s="352"/>
      <c r="T627" s="352"/>
      <c r="U627" s="352"/>
      <c r="V627" s="352"/>
    </row>
    <row r="628" spans="1:22" ht="26.25" hidden="1" customHeight="1" x14ac:dyDescent="0.2">
      <c r="A628" s="352"/>
      <c r="B628" s="352"/>
      <c r="C628" s="352"/>
      <c r="D628" s="352"/>
      <c r="E628" s="352"/>
      <c r="F628" s="352"/>
      <c r="G628" s="352"/>
      <c r="H628" s="352"/>
      <c r="I628" s="352"/>
      <c r="J628" s="352"/>
      <c r="K628" s="352"/>
      <c r="L628" s="352"/>
      <c r="M628" s="352"/>
      <c r="N628" s="352"/>
      <c r="O628" s="352"/>
      <c r="P628" s="352"/>
      <c r="Q628" s="352"/>
      <c r="R628" s="352"/>
      <c r="S628" s="352"/>
      <c r="T628" s="352"/>
      <c r="U628" s="352"/>
      <c r="V628" s="352"/>
    </row>
    <row r="629" spans="1:22" ht="26.25" hidden="1" customHeight="1" x14ac:dyDescent="0.2">
      <c r="A629" s="352"/>
      <c r="B629" s="352"/>
      <c r="C629" s="352"/>
      <c r="D629" s="352"/>
      <c r="E629" s="352"/>
      <c r="F629" s="352"/>
      <c r="G629" s="352"/>
      <c r="H629" s="352"/>
      <c r="I629" s="352"/>
      <c r="J629" s="352"/>
      <c r="K629" s="352"/>
      <c r="L629" s="352"/>
      <c r="M629" s="352"/>
      <c r="N629" s="352"/>
      <c r="O629" s="352"/>
      <c r="P629" s="352"/>
      <c r="Q629" s="352"/>
      <c r="R629" s="352"/>
      <c r="S629" s="352"/>
      <c r="T629" s="352"/>
      <c r="U629" s="352"/>
      <c r="V629" s="352"/>
    </row>
    <row r="630" spans="1:22" ht="26.25" hidden="1" customHeight="1" x14ac:dyDescent="0.2">
      <c r="A630" s="352"/>
      <c r="B630" s="352"/>
      <c r="C630" s="352"/>
      <c r="D630" s="352"/>
      <c r="E630" s="352"/>
      <c r="F630" s="352"/>
      <c r="G630" s="352"/>
      <c r="H630" s="352"/>
      <c r="I630" s="352"/>
      <c r="J630" s="352"/>
      <c r="K630" s="352"/>
      <c r="L630" s="352"/>
      <c r="M630" s="352"/>
      <c r="N630" s="352"/>
      <c r="O630" s="352"/>
      <c r="P630" s="352"/>
      <c r="Q630" s="352"/>
      <c r="R630" s="352"/>
      <c r="S630" s="352"/>
      <c r="T630" s="352"/>
      <c r="U630" s="352"/>
      <c r="V630" s="352"/>
    </row>
    <row r="631" spans="1:22" ht="26.25" hidden="1" customHeight="1" x14ac:dyDescent="0.2">
      <c r="A631" s="352"/>
      <c r="B631" s="352"/>
      <c r="C631" s="352"/>
      <c r="D631" s="352"/>
      <c r="E631" s="352"/>
      <c r="F631" s="352"/>
      <c r="G631" s="352"/>
      <c r="H631" s="352"/>
      <c r="I631" s="352"/>
      <c r="J631" s="352"/>
      <c r="K631" s="352"/>
      <c r="L631" s="352"/>
      <c r="M631" s="352"/>
      <c r="N631" s="352"/>
      <c r="O631" s="352"/>
      <c r="P631" s="352"/>
      <c r="Q631" s="352"/>
      <c r="R631" s="352"/>
      <c r="S631" s="352"/>
      <c r="T631" s="352"/>
      <c r="U631" s="352"/>
      <c r="V631" s="352"/>
    </row>
    <row r="632" spans="1:22" ht="26.25" hidden="1" customHeight="1" x14ac:dyDescent="0.2">
      <c r="A632" s="352"/>
      <c r="B632" s="352"/>
      <c r="C632" s="352"/>
      <c r="D632" s="352"/>
      <c r="E632" s="352"/>
      <c r="F632" s="352"/>
      <c r="G632" s="352"/>
      <c r="H632" s="352"/>
      <c r="I632" s="352"/>
      <c r="J632" s="352"/>
      <c r="K632" s="352"/>
      <c r="L632" s="352"/>
      <c r="M632" s="352"/>
      <c r="N632" s="352"/>
      <c r="O632" s="352"/>
      <c r="P632" s="352"/>
      <c r="Q632" s="352"/>
      <c r="R632" s="352"/>
      <c r="S632" s="352"/>
      <c r="T632" s="352"/>
      <c r="U632" s="352"/>
      <c r="V632" s="352"/>
    </row>
    <row r="633" spans="1:22" ht="26.25" hidden="1" customHeight="1" x14ac:dyDescent="0.2">
      <c r="A633" s="352"/>
      <c r="B633" s="352"/>
      <c r="C633" s="352"/>
      <c r="D633" s="352"/>
      <c r="E633" s="352"/>
      <c r="F633" s="352"/>
      <c r="G633" s="352"/>
      <c r="H633" s="352"/>
      <c r="I633" s="352"/>
      <c r="J633" s="352"/>
      <c r="K633" s="352"/>
      <c r="L633" s="352"/>
      <c r="M633" s="352"/>
      <c r="N633" s="352"/>
      <c r="O633" s="352"/>
      <c r="P633" s="352"/>
      <c r="Q633" s="352"/>
      <c r="R633" s="352"/>
      <c r="S633" s="352"/>
      <c r="T633" s="352"/>
      <c r="U633" s="352"/>
      <c r="V633" s="352"/>
    </row>
    <row r="634" spans="1:22" ht="26.25" hidden="1" customHeight="1" x14ac:dyDescent="0.2">
      <c r="A634" s="352"/>
      <c r="B634" s="352"/>
      <c r="C634" s="352"/>
      <c r="D634" s="352"/>
      <c r="E634" s="352"/>
      <c r="F634" s="352"/>
      <c r="G634" s="352"/>
      <c r="H634" s="352"/>
      <c r="I634" s="352"/>
      <c r="J634" s="352"/>
      <c r="K634" s="352"/>
      <c r="L634" s="352"/>
      <c r="M634" s="352"/>
      <c r="N634" s="352"/>
      <c r="O634" s="352"/>
      <c r="P634" s="352"/>
      <c r="Q634" s="352"/>
      <c r="R634" s="352"/>
      <c r="S634" s="352"/>
      <c r="T634" s="352"/>
      <c r="U634" s="352"/>
      <c r="V634" s="352"/>
    </row>
    <row r="635" spans="1:22" ht="26.25" hidden="1" customHeight="1" x14ac:dyDescent="0.2">
      <c r="A635" s="352"/>
      <c r="B635" s="352"/>
      <c r="C635" s="352"/>
      <c r="D635" s="352"/>
      <c r="E635" s="352"/>
      <c r="F635" s="352"/>
      <c r="G635" s="352"/>
      <c r="H635" s="352"/>
      <c r="I635" s="352"/>
      <c r="J635" s="352"/>
      <c r="K635" s="352"/>
      <c r="L635" s="352"/>
      <c r="M635" s="352"/>
      <c r="N635" s="352"/>
      <c r="O635" s="352"/>
      <c r="P635" s="352"/>
      <c r="Q635" s="352"/>
      <c r="R635" s="352"/>
      <c r="S635" s="352"/>
      <c r="T635" s="352"/>
      <c r="U635" s="352"/>
      <c r="V635" s="352"/>
    </row>
    <row r="636" spans="1:22" ht="26.25" hidden="1" customHeight="1" x14ac:dyDescent="0.2">
      <c r="A636" s="352"/>
      <c r="B636" s="352"/>
      <c r="C636" s="352"/>
      <c r="D636" s="352"/>
      <c r="E636" s="352"/>
      <c r="F636" s="352"/>
      <c r="G636" s="352"/>
      <c r="H636" s="352"/>
      <c r="I636" s="352"/>
      <c r="J636" s="352"/>
      <c r="K636" s="352"/>
      <c r="L636" s="352"/>
      <c r="M636" s="352"/>
      <c r="N636" s="352"/>
      <c r="O636" s="352"/>
      <c r="P636" s="352"/>
      <c r="Q636" s="352"/>
      <c r="R636" s="352"/>
      <c r="S636" s="352"/>
      <c r="T636" s="352"/>
      <c r="U636" s="352"/>
      <c r="V636" s="352"/>
    </row>
    <row r="637" spans="1:22" ht="26.25" hidden="1" customHeight="1" x14ac:dyDescent="0.2">
      <c r="A637" s="352"/>
      <c r="B637" s="352"/>
      <c r="C637" s="352"/>
      <c r="D637" s="352"/>
      <c r="E637" s="352"/>
      <c r="F637" s="352"/>
      <c r="G637" s="352"/>
      <c r="H637" s="352"/>
      <c r="I637" s="352"/>
      <c r="J637" s="352"/>
      <c r="K637" s="352"/>
      <c r="L637" s="352"/>
      <c r="M637" s="352"/>
      <c r="N637" s="352"/>
      <c r="O637" s="352"/>
      <c r="P637" s="352"/>
      <c r="Q637" s="352"/>
      <c r="R637" s="352"/>
      <c r="S637" s="352"/>
      <c r="T637" s="352"/>
      <c r="U637" s="352"/>
      <c r="V637" s="352"/>
    </row>
    <row r="638" spans="1:22" ht="26.25" hidden="1" customHeight="1" x14ac:dyDescent="0.2">
      <c r="A638" s="352"/>
      <c r="B638" s="352"/>
      <c r="C638" s="352"/>
      <c r="D638" s="352"/>
      <c r="E638" s="352"/>
      <c r="F638" s="352"/>
      <c r="G638" s="352"/>
      <c r="H638" s="352"/>
      <c r="I638" s="352"/>
      <c r="J638" s="352"/>
      <c r="K638" s="352"/>
      <c r="L638" s="352"/>
      <c r="M638" s="352"/>
      <c r="N638" s="352"/>
      <c r="O638" s="352"/>
      <c r="P638" s="352"/>
      <c r="Q638" s="352"/>
      <c r="R638" s="352"/>
      <c r="S638" s="352"/>
      <c r="T638" s="352"/>
      <c r="U638" s="352"/>
      <c r="V638" s="352"/>
    </row>
    <row r="639" spans="1:22" ht="26.25" hidden="1" customHeight="1" x14ac:dyDescent="0.2">
      <c r="A639" s="352"/>
      <c r="B639" s="352"/>
      <c r="C639" s="352"/>
      <c r="D639" s="352"/>
      <c r="E639" s="352"/>
      <c r="F639" s="352"/>
      <c r="G639" s="352"/>
      <c r="H639" s="352"/>
      <c r="I639" s="352"/>
      <c r="J639" s="352"/>
      <c r="K639" s="352"/>
      <c r="L639" s="352"/>
      <c r="M639" s="352"/>
      <c r="N639" s="352"/>
      <c r="O639" s="352"/>
      <c r="P639" s="352"/>
      <c r="Q639" s="352"/>
      <c r="R639" s="352"/>
      <c r="S639" s="352"/>
      <c r="T639" s="352"/>
      <c r="U639" s="352"/>
      <c r="V639" s="352"/>
    </row>
    <row r="640" spans="1:22" ht="26.25" hidden="1" customHeight="1" x14ac:dyDescent="0.2">
      <c r="A640" s="352"/>
      <c r="B640" s="352"/>
      <c r="C640" s="352"/>
      <c r="D640" s="352"/>
      <c r="E640" s="352"/>
      <c r="F640" s="352"/>
      <c r="G640" s="352"/>
      <c r="H640" s="352"/>
      <c r="I640" s="352"/>
      <c r="J640" s="352"/>
      <c r="K640" s="352"/>
      <c r="L640" s="352"/>
      <c r="M640" s="352"/>
      <c r="N640" s="352"/>
      <c r="O640" s="352"/>
      <c r="P640" s="352"/>
      <c r="Q640" s="352"/>
      <c r="R640" s="352"/>
      <c r="S640" s="352"/>
      <c r="T640" s="352"/>
      <c r="U640" s="352"/>
      <c r="V640" s="352"/>
    </row>
    <row r="641" spans="1:22" ht="26.25" hidden="1" customHeight="1" x14ac:dyDescent="0.2">
      <c r="A641" s="352"/>
      <c r="B641" s="352"/>
      <c r="C641" s="352"/>
      <c r="D641" s="352"/>
      <c r="E641" s="352"/>
      <c r="F641" s="352"/>
      <c r="G641" s="352"/>
      <c r="H641" s="352"/>
      <c r="I641" s="352"/>
      <c r="J641" s="352"/>
      <c r="K641" s="352"/>
      <c r="L641" s="352"/>
      <c r="M641" s="352"/>
      <c r="N641" s="352"/>
      <c r="O641" s="352"/>
      <c r="P641" s="352"/>
      <c r="Q641" s="352"/>
      <c r="R641" s="352"/>
      <c r="S641" s="352"/>
      <c r="T641" s="352"/>
      <c r="U641" s="352"/>
      <c r="V641" s="352"/>
    </row>
    <row r="642" spans="1:22" ht="26.25" hidden="1" customHeight="1" x14ac:dyDescent="0.2">
      <c r="A642" s="352"/>
      <c r="B642" s="352"/>
      <c r="C642" s="352"/>
      <c r="D642" s="352"/>
      <c r="E642" s="352"/>
      <c r="F642" s="352"/>
      <c r="G642" s="352"/>
      <c r="H642" s="352"/>
      <c r="I642" s="352"/>
      <c r="J642" s="352"/>
      <c r="K642" s="352"/>
      <c r="L642" s="352"/>
      <c r="M642" s="352"/>
      <c r="N642" s="352"/>
      <c r="O642" s="352"/>
      <c r="P642" s="352"/>
      <c r="Q642" s="352"/>
      <c r="R642" s="352"/>
      <c r="S642" s="352"/>
      <c r="T642" s="352"/>
      <c r="U642" s="352"/>
      <c r="V642" s="352"/>
    </row>
    <row r="643" spans="1:22" ht="26.25" hidden="1" customHeight="1" x14ac:dyDescent="0.2">
      <c r="A643" s="352"/>
      <c r="B643" s="352"/>
      <c r="C643" s="352"/>
      <c r="D643" s="352"/>
      <c r="E643" s="352"/>
      <c r="F643" s="352"/>
      <c r="G643" s="352"/>
      <c r="H643" s="352"/>
      <c r="I643" s="352"/>
      <c r="J643" s="352"/>
      <c r="K643" s="352"/>
      <c r="L643" s="352"/>
      <c r="M643" s="352"/>
      <c r="N643" s="352"/>
      <c r="O643" s="352"/>
      <c r="P643" s="352"/>
      <c r="Q643" s="352"/>
      <c r="R643" s="352"/>
      <c r="S643" s="352"/>
      <c r="T643" s="352"/>
      <c r="U643" s="352"/>
      <c r="V643" s="352"/>
    </row>
    <row r="644" spans="1:22" ht="26.25" hidden="1" customHeight="1" x14ac:dyDescent="0.2">
      <c r="A644" s="352"/>
      <c r="B644" s="352"/>
      <c r="C644" s="352"/>
      <c r="D644" s="352"/>
      <c r="E644" s="352"/>
      <c r="F644" s="352"/>
      <c r="G644" s="352"/>
      <c r="H644" s="352"/>
      <c r="I644" s="352"/>
      <c r="J644" s="352"/>
      <c r="K644" s="352"/>
      <c r="L644" s="352"/>
      <c r="M644" s="352"/>
      <c r="N644" s="352"/>
      <c r="O644" s="352"/>
      <c r="P644" s="352"/>
      <c r="Q644" s="352"/>
      <c r="R644" s="352"/>
      <c r="S644" s="352"/>
      <c r="T644" s="352"/>
      <c r="U644" s="352"/>
      <c r="V644" s="352"/>
    </row>
    <row r="645" spans="1:22" ht="26.25" hidden="1" customHeight="1" x14ac:dyDescent="0.2">
      <c r="A645" s="352"/>
      <c r="B645" s="352"/>
      <c r="C645" s="352"/>
      <c r="D645" s="352"/>
      <c r="E645" s="352"/>
      <c r="F645" s="352"/>
      <c r="G645" s="352"/>
      <c r="H645" s="352"/>
      <c r="I645" s="352"/>
      <c r="J645" s="352"/>
      <c r="K645" s="352"/>
      <c r="L645" s="352"/>
      <c r="M645" s="352"/>
      <c r="N645" s="352"/>
      <c r="O645" s="352"/>
      <c r="P645" s="352"/>
      <c r="Q645" s="352"/>
      <c r="R645" s="352"/>
      <c r="S645" s="352"/>
      <c r="T645" s="352"/>
      <c r="U645" s="352"/>
      <c r="V645" s="352"/>
    </row>
    <row r="646" spans="1:22" ht="26.25" hidden="1" customHeight="1" x14ac:dyDescent="0.2">
      <c r="A646" s="352"/>
      <c r="B646" s="352"/>
      <c r="C646" s="352"/>
      <c r="D646" s="352"/>
      <c r="E646" s="352"/>
      <c r="F646" s="352"/>
      <c r="G646" s="352"/>
      <c r="H646" s="352"/>
      <c r="I646" s="352"/>
      <c r="J646" s="352"/>
      <c r="K646" s="352"/>
      <c r="L646" s="352"/>
      <c r="M646" s="352"/>
      <c r="N646" s="352"/>
      <c r="O646" s="352"/>
      <c r="P646" s="352"/>
      <c r="Q646" s="352"/>
      <c r="R646" s="352"/>
      <c r="S646" s="352"/>
      <c r="T646" s="352"/>
      <c r="U646" s="352"/>
      <c r="V646" s="352"/>
    </row>
    <row r="647" spans="1:22" ht="26.25" hidden="1" customHeight="1" x14ac:dyDescent="0.2">
      <c r="A647" s="352"/>
      <c r="B647" s="352"/>
      <c r="C647" s="352"/>
      <c r="D647" s="352"/>
      <c r="E647" s="352"/>
      <c r="F647" s="352"/>
      <c r="G647" s="352"/>
      <c r="H647" s="352"/>
      <c r="I647" s="352"/>
      <c r="J647" s="352"/>
      <c r="K647" s="352"/>
      <c r="L647" s="352"/>
      <c r="M647" s="352"/>
      <c r="N647" s="352"/>
      <c r="O647" s="352"/>
      <c r="P647" s="352"/>
      <c r="Q647" s="352"/>
      <c r="R647" s="352"/>
      <c r="S647" s="352"/>
      <c r="T647" s="352"/>
      <c r="U647" s="352"/>
      <c r="V647" s="352"/>
    </row>
    <row r="648" spans="1:22" ht="26.25" hidden="1" customHeight="1" x14ac:dyDescent="0.2">
      <c r="A648" s="352"/>
      <c r="B648" s="352"/>
      <c r="C648" s="352"/>
      <c r="D648" s="352"/>
      <c r="E648" s="352"/>
      <c r="F648" s="352"/>
      <c r="G648" s="352"/>
      <c r="H648" s="352"/>
      <c r="I648" s="352"/>
      <c r="J648" s="352"/>
      <c r="K648" s="352"/>
      <c r="L648" s="352"/>
      <c r="M648" s="352"/>
      <c r="N648" s="352"/>
      <c r="O648" s="352"/>
      <c r="P648" s="352"/>
      <c r="Q648" s="352"/>
      <c r="R648" s="352"/>
      <c r="S648" s="352"/>
      <c r="T648" s="352"/>
      <c r="U648" s="352"/>
      <c r="V648" s="352"/>
    </row>
    <row r="649" spans="1:22" ht="26.25" hidden="1" customHeight="1" x14ac:dyDescent="0.2">
      <c r="A649" s="352"/>
      <c r="B649" s="352"/>
      <c r="C649" s="352"/>
      <c r="D649" s="352"/>
      <c r="E649" s="352"/>
      <c r="F649" s="352"/>
      <c r="G649" s="352"/>
      <c r="H649" s="352"/>
      <c r="I649" s="352"/>
      <c r="J649" s="352"/>
      <c r="K649" s="352"/>
      <c r="L649" s="352"/>
      <c r="M649" s="352"/>
      <c r="N649" s="352"/>
      <c r="O649" s="352"/>
      <c r="P649" s="352"/>
      <c r="Q649" s="352"/>
      <c r="R649" s="352"/>
      <c r="S649" s="352"/>
      <c r="T649" s="352"/>
      <c r="U649" s="352"/>
      <c r="V649" s="352"/>
    </row>
    <row r="650" spans="1:22" ht="26.25" hidden="1" customHeight="1" x14ac:dyDescent="0.2">
      <c r="A650" s="352"/>
      <c r="B650" s="352"/>
      <c r="C650" s="352"/>
      <c r="D650" s="352"/>
      <c r="E650" s="352"/>
      <c r="F650" s="352"/>
      <c r="G650" s="352"/>
      <c r="H650" s="352"/>
      <c r="I650" s="352"/>
      <c r="J650" s="352"/>
      <c r="K650" s="352"/>
      <c r="L650" s="352"/>
      <c r="M650" s="352"/>
      <c r="N650" s="352"/>
      <c r="O650" s="352"/>
      <c r="P650" s="352"/>
      <c r="Q650" s="352"/>
      <c r="R650" s="352"/>
      <c r="S650" s="352"/>
      <c r="T650" s="352"/>
      <c r="U650" s="352"/>
      <c r="V650" s="352"/>
    </row>
    <row r="651" spans="1:22" ht="26.25" hidden="1" customHeight="1" x14ac:dyDescent="0.2">
      <c r="A651" s="352"/>
      <c r="B651" s="352"/>
      <c r="C651" s="352"/>
      <c r="D651" s="352"/>
      <c r="E651" s="352"/>
      <c r="F651" s="352"/>
      <c r="G651" s="352"/>
      <c r="H651" s="352"/>
      <c r="I651" s="352"/>
      <c r="J651" s="352"/>
      <c r="K651" s="352"/>
      <c r="L651" s="352"/>
      <c r="M651" s="352"/>
      <c r="N651" s="352"/>
      <c r="O651" s="352"/>
      <c r="P651" s="352"/>
      <c r="Q651" s="352"/>
      <c r="R651" s="352"/>
      <c r="S651" s="352"/>
      <c r="T651" s="352"/>
      <c r="U651" s="352"/>
      <c r="V651" s="352"/>
    </row>
    <row r="652" spans="1:22" ht="26.25" hidden="1" customHeight="1" x14ac:dyDescent="0.2">
      <c r="A652" s="352"/>
      <c r="B652" s="352"/>
      <c r="C652" s="352"/>
      <c r="D652" s="352"/>
      <c r="E652" s="352"/>
      <c r="F652" s="352"/>
      <c r="G652" s="352"/>
      <c r="H652" s="352"/>
      <c r="I652" s="352"/>
      <c r="J652" s="352"/>
      <c r="K652" s="352"/>
      <c r="L652" s="352"/>
      <c r="M652" s="352"/>
      <c r="N652" s="352"/>
      <c r="O652" s="352"/>
      <c r="P652" s="352"/>
      <c r="Q652" s="352"/>
      <c r="R652" s="352"/>
      <c r="S652" s="352"/>
      <c r="T652" s="352"/>
      <c r="U652" s="352"/>
      <c r="V652" s="352"/>
    </row>
    <row r="653" spans="1:22" ht="26.25" hidden="1" customHeight="1" x14ac:dyDescent="0.2">
      <c r="A653" s="352"/>
      <c r="B653" s="352"/>
      <c r="C653" s="352"/>
      <c r="D653" s="352"/>
      <c r="E653" s="352"/>
      <c r="F653" s="352"/>
      <c r="G653" s="352"/>
      <c r="H653" s="352"/>
      <c r="I653" s="352"/>
      <c r="J653" s="352"/>
      <c r="K653" s="352"/>
      <c r="L653" s="352"/>
      <c r="M653" s="352"/>
      <c r="N653" s="352"/>
      <c r="O653" s="352"/>
      <c r="P653" s="352"/>
      <c r="Q653" s="352"/>
      <c r="R653" s="352"/>
      <c r="S653" s="352"/>
      <c r="T653" s="352"/>
      <c r="U653" s="352"/>
      <c r="V653" s="352"/>
    </row>
    <row r="654" spans="1:22" ht="26.25" hidden="1" customHeight="1" x14ac:dyDescent="0.2">
      <c r="A654" s="352"/>
      <c r="B654" s="352"/>
      <c r="C654" s="352"/>
      <c r="D654" s="352"/>
      <c r="E654" s="352"/>
      <c r="F654" s="352"/>
      <c r="G654" s="352"/>
      <c r="H654" s="352"/>
      <c r="I654" s="352"/>
      <c r="J654" s="352"/>
      <c r="K654" s="352"/>
      <c r="L654" s="352"/>
      <c r="M654" s="352"/>
      <c r="N654" s="352"/>
      <c r="O654" s="352"/>
      <c r="P654" s="352"/>
      <c r="Q654" s="352"/>
      <c r="R654" s="352"/>
      <c r="S654" s="352"/>
      <c r="T654" s="352"/>
      <c r="U654" s="352"/>
      <c r="V654" s="352"/>
    </row>
    <row r="655" spans="1:22" ht="26.25" hidden="1" customHeight="1" x14ac:dyDescent="0.2">
      <c r="A655" s="352"/>
      <c r="B655" s="352"/>
      <c r="C655" s="352"/>
      <c r="D655" s="352"/>
      <c r="E655" s="352"/>
      <c r="F655" s="352"/>
      <c r="G655" s="352"/>
      <c r="H655" s="352"/>
      <c r="I655" s="352"/>
      <c r="J655" s="352"/>
      <c r="K655" s="352"/>
      <c r="L655" s="352"/>
      <c r="M655" s="352"/>
      <c r="N655" s="352"/>
      <c r="O655" s="352"/>
      <c r="P655" s="352"/>
      <c r="Q655" s="352"/>
      <c r="R655" s="352"/>
      <c r="S655" s="352"/>
      <c r="T655" s="352"/>
      <c r="U655" s="352"/>
      <c r="V655" s="352"/>
    </row>
    <row r="656" spans="1:22" ht="26.25" hidden="1" customHeight="1" x14ac:dyDescent="0.2">
      <c r="A656" s="352"/>
      <c r="B656" s="352"/>
      <c r="C656" s="352"/>
      <c r="D656" s="352"/>
      <c r="E656" s="352"/>
      <c r="F656" s="352"/>
      <c r="G656" s="352"/>
      <c r="H656" s="352"/>
      <c r="I656" s="352"/>
      <c r="J656" s="352"/>
      <c r="K656" s="352"/>
      <c r="L656" s="352"/>
      <c r="M656" s="352"/>
      <c r="N656" s="352"/>
      <c r="O656" s="352"/>
      <c r="P656" s="352"/>
      <c r="Q656" s="352"/>
      <c r="R656" s="352"/>
      <c r="S656" s="352"/>
      <c r="T656" s="352"/>
      <c r="U656" s="352"/>
      <c r="V656" s="352"/>
    </row>
    <row r="657" spans="1:22" ht="26.25" hidden="1" customHeight="1" x14ac:dyDescent="0.2">
      <c r="A657" s="352"/>
      <c r="B657" s="352"/>
      <c r="C657" s="352"/>
      <c r="D657" s="352"/>
      <c r="E657" s="352"/>
      <c r="F657" s="352"/>
      <c r="G657" s="352"/>
      <c r="H657" s="352"/>
      <c r="I657" s="352"/>
      <c r="J657" s="352"/>
      <c r="K657" s="352"/>
      <c r="L657" s="352"/>
      <c r="M657" s="352"/>
      <c r="N657" s="352"/>
      <c r="O657" s="352"/>
      <c r="P657" s="352"/>
      <c r="Q657" s="352"/>
      <c r="R657" s="352"/>
      <c r="S657" s="352"/>
      <c r="T657" s="352"/>
      <c r="U657" s="352"/>
      <c r="V657" s="352"/>
    </row>
    <row r="658" spans="1:22" ht="26.25" hidden="1" customHeight="1" x14ac:dyDescent="0.2">
      <c r="A658" s="352"/>
      <c r="B658" s="352"/>
      <c r="C658" s="352"/>
      <c r="D658" s="352"/>
      <c r="E658" s="352"/>
      <c r="F658" s="352"/>
      <c r="G658" s="352"/>
      <c r="H658" s="352"/>
      <c r="I658" s="352"/>
      <c r="J658" s="352"/>
      <c r="K658" s="352"/>
      <c r="L658" s="352"/>
      <c r="M658" s="352"/>
      <c r="N658" s="352"/>
      <c r="O658" s="352"/>
      <c r="P658" s="352"/>
      <c r="Q658" s="352"/>
      <c r="R658" s="352"/>
      <c r="S658" s="352"/>
      <c r="T658" s="352"/>
      <c r="U658" s="352"/>
      <c r="V658" s="352"/>
    </row>
    <row r="659" spans="1:22" ht="26.25" hidden="1" customHeight="1" x14ac:dyDescent="0.2">
      <c r="A659" s="352"/>
      <c r="B659" s="352"/>
      <c r="C659" s="352"/>
      <c r="D659" s="352"/>
      <c r="E659" s="352"/>
      <c r="F659" s="352"/>
      <c r="G659" s="352"/>
      <c r="H659" s="352"/>
      <c r="I659" s="352"/>
      <c r="J659" s="352"/>
      <c r="K659" s="352"/>
      <c r="L659" s="352"/>
      <c r="M659" s="352"/>
      <c r="N659" s="352"/>
      <c r="O659" s="352"/>
      <c r="P659" s="352"/>
      <c r="Q659" s="352"/>
      <c r="R659" s="352"/>
      <c r="S659" s="352"/>
      <c r="T659" s="352"/>
      <c r="U659" s="352"/>
      <c r="V659" s="352"/>
    </row>
    <row r="660" spans="1:22" ht="26.25" hidden="1" customHeight="1" x14ac:dyDescent="0.2">
      <c r="A660" s="352"/>
      <c r="B660" s="352"/>
      <c r="C660" s="352"/>
      <c r="D660" s="352"/>
      <c r="E660" s="352"/>
      <c r="F660" s="352"/>
      <c r="G660" s="352"/>
      <c r="H660" s="352"/>
      <c r="I660" s="352"/>
      <c r="J660" s="352"/>
      <c r="K660" s="352"/>
      <c r="L660" s="352"/>
      <c r="M660" s="352"/>
      <c r="N660" s="352"/>
      <c r="O660" s="352"/>
      <c r="P660" s="352"/>
      <c r="Q660" s="352"/>
      <c r="R660" s="352"/>
      <c r="S660" s="352"/>
      <c r="T660" s="352"/>
      <c r="U660" s="352"/>
      <c r="V660" s="352"/>
    </row>
    <row r="661" spans="1:22" ht="26.25" hidden="1" customHeight="1" x14ac:dyDescent="0.2">
      <c r="A661" s="352"/>
      <c r="B661" s="352"/>
      <c r="C661" s="352"/>
      <c r="D661" s="352"/>
      <c r="E661" s="352"/>
      <c r="F661" s="352"/>
      <c r="G661" s="352"/>
      <c r="H661" s="352"/>
      <c r="I661" s="352"/>
      <c r="J661" s="352"/>
      <c r="K661" s="352"/>
      <c r="L661" s="352"/>
      <c r="M661" s="352"/>
      <c r="N661" s="352"/>
      <c r="O661" s="352"/>
      <c r="P661" s="352"/>
      <c r="Q661" s="352"/>
      <c r="R661" s="352"/>
      <c r="S661" s="352"/>
      <c r="T661" s="352"/>
      <c r="U661" s="352"/>
      <c r="V661" s="352"/>
    </row>
    <row r="662" spans="1:22" ht="26.25" hidden="1" customHeight="1" x14ac:dyDescent="0.2">
      <c r="A662" s="352"/>
      <c r="B662" s="352"/>
      <c r="C662" s="352"/>
      <c r="D662" s="352"/>
      <c r="E662" s="352"/>
      <c r="F662" s="352"/>
      <c r="G662" s="352"/>
      <c r="H662" s="352"/>
      <c r="I662" s="352"/>
      <c r="J662" s="352"/>
      <c r="K662" s="352"/>
      <c r="L662" s="352"/>
      <c r="M662" s="352"/>
      <c r="N662" s="352"/>
      <c r="O662" s="352"/>
      <c r="P662" s="352"/>
      <c r="Q662" s="352"/>
      <c r="R662" s="352"/>
      <c r="S662" s="352"/>
      <c r="T662" s="352"/>
      <c r="U662" s="352"/>
      <c r="V662" s="352"/>
    </row>
    <row r="663" spans="1:22" ht="26.25" hidden="1" customHeight="1" x14ac:dyDescent="0.2">
      <c r="A663" s="352"/>
      <c r="B663" s="352"/>
      <c r="C663" s="352"/>
      <c r="D663" s="352"/>
      <c r="E663" s="352"/>
      <c r="F663" s="352"/>
      <c r="G663" s="352"/>
      <c r="H663" s="352"/>
      <c r="I663" s="352"/>
      <c r="J663" s="352"/>
      <c r="K663" s="352"/>
      <c r="L663" s="352"/>
      <c r="M663" s="352"/>
      <c r="N663" s="352"/>
      <c r="O663" s="352"/>
      <c r="P663" s="352"/>
      <c r="Q663" s="352"/>
      <c r="R663" s="352"/>
      <c r="S663" s="352"/>
      <c r="T663" s="352"/>
      <c r="U663" s="352"/>
      <c r="V663" s="352"/>
    </row>
    <row r="664" spans="1:22" ht="26.25" hidden="1" customHeight="1" x14ac:dyDescent="0.2">
      <c r="A664" s="352"/>
      <c r="B664" s="352"/>
      <c r="C664" s="352"/>
      <c r="D664" s="352"/>
      <c r="E664" s="352"/>
      <c r="F664" s="352"/>
      <c r="G664" s="352"/>
      <c r="H664" s="352"/>
      <c r="I664" s="352"/>
      <c r="J664" s="352"/>
      <c r="K664" s="352"/>
      <c r="L664" s="352"/>
      <c r="M664" s="352"/>
      <c r="N664" s="352"/>
      <c r="O664" s="352"/>
      <c r="P664" s="352"/>
      <c r="Q664" s="352"/>
      <c r="R664" s="352"/>
      <c r="S664" s="352"/>
      <c r="T664" s="352"/>
      <c r="U664" s="352"/>
      <c r="V664" s="352"/>
    </row>
    <row r="665" spans="1:22" ht="26.25" hidden="1" customHeight="1" x14ac:dyDescent="0.2">
      <c r="A665" s="352"/>
      <c r="B665" s="352"/>
      <c r="C665" s="352"/>
      <c r="D665" s="352"/>
      <c r="E665" s="352"/>
      <c r="F665" s="352"/>
      <c r="G665" s="352"/>
      <c r="H665" s="352"/>
      <c r="I665" s="352"/>
      <c r="J665" s="352"/>
      <c r="K665" s="352"/>
      <c r="L665" s="352"/>
      <c r="M665" s="352"/>
      <c r="N665" s="352"/>
      <c r="O665" s="352"/>
      <c r="P665" s="352"/>
      <c r="Q665" s="352"/>
      <c r="R665" s="352"/>
      <c r="S665" s="352"/>
      <c r="T665" s="352"/>
      <c r="U665" s="352"/>
      <c r="V665" s="352"/>
    </row>
    <row r="666" spans="1:22" ht="26.25" hidden="1" customHeight="1" x14ac:dyDescent="0.2">
      <c r="A666" s="352"/>
      <c r="B666" s="352"/>
      <c r="C666" s="352"/>
      <c r="D666" s="352"/>
      <c r="E666" s="352"/>
      <c r="F666" s="352"/>
      <c r="G666" s="352"/>
      <c r="H666" s="352"/>
      <c r="I666" s="352"/>
      <c r="J666" s="352"/>
      <c r="K666" s="352"/>
      <c r="L666" s="352"/>
      <c r="M666" s="352"/>
      <c r="N666" s="352"/>
      <c r="O666" s="352"/>
      <c r="P666" s="352"/>
      <c r="Q666" s="352"/>
      <c r="R666" s="352"/>
      <c r="S666" s="352"/>
      <c r="T666" s="352"/>
      <c r="U666" s="352"/>
      <c r="V666" s="352"/>
    </row>
    <row r="667" spans="1:22" ht="26.25" hidden="1" customHeight="1" x14ac:dyDescent="0.2">
      <c r="A667" s="352"/>
      <c r="B667" s="352"/>
      <c r="C667" s="352"/>
      <c r="D667" s="352"/>
      <c r="E667" s="352"/>
      <c r="F667" s="352"/>
      <c r="G667" s="352"/>
      <c r="H667" s="352"/>
      <c r="I667" s="352"/>
      <c r="J667" s="352"/>
      <c r="K667" s="352"/>
      <c r="L667" s="352"/>
      <c r="M667" s="352"/>
      <c r="N667" s="352"/>
      <c r="O667" s="352"/>
      <c r="P667" s="352"/>
      <c r="Q667" s="352"/>
      <c r="R667" s="352"/>
      <c r="S667" s="352"/>
      <c r="T667" s="352"/>
      <c r="U667" s="352"/>
      <c r="V667" s="352"/>
    </row>
    <row r="668" spans="1:22" ht="26.25" hidden="1" customHeight="1" x14ac:dyDescent="0.2">
      <c r="A668" s="352"/>
      <c r="B668" s="352"/>
      <c r="C668" s="352"/>
      <c r="D668" s="352"/>
      <c r="E668" s="352"/>
      <c r="F668" s="352"/>
      <c r="G668" s="352"/>
      <c r="H668" s="352"/>
      <c r="I668" s="352"/>
      <c r="J668" s="352"/>
      <c r="K668" s="352"/>
      <c r="L668" s="352"/>
      <c r="M668" s="352"/>
      <c r="N668" s="352"/>
      <c r="O668" s="352"/>
      <c r="P668" s="352"/>
      <c r="Q668" s="352"/>
      <c r="R668" s="352"/>
      <c r="S668" s="352"/>
      <c r="T668" s="352"/>
      <c r="U668" s="352"/>
      <c r="V668" s="352"/>
    </row>
    <row r="669" spans="1:22" ht="26.25" hidden="1" customHeight="1" x14ac:dyDescent="0.2">
      <c r="A669" s="352"/>
      <c r="B669" s="352"/>
      <c r="C669" s="352"/>
      <c r="D669" s="352"/>
      <c r="E669" s="352"/>
      <c r="F669" s="352"/>
      <c r="G669" s="352"/>
      <c r="H669" s="352"/>
      <c r="I669" s="352"/>
      <c r="J669" s="352"/>
      <c r="K669" s="352"/>
      <c r="L669" s="352"/>
      <c r="M669" s="352"/>
      <c r="N669" s="352"/>
      <c r="O669" s="352"/>
      <c r="P669" s="352"/>
      <c r="Q669" s="352"/>
      <c r="R669" s="352"/>
      <c r="S669" s="352"/>
      <c r="T669" s="352"/>
      <c r="U669" s="352"/>
      <c r="V669" s="352"/>
    </row>
    <row r="670" spans="1:22" ht="26.25" hidden="1" customHeight="1" x14ac:dyDescent="0.2">
      <c r="A670" s="352"/>
      <c r="B670" s="352"/>
      <c r="C670" s="352"/>
      <c r="D670" s="352"/>
      <c r="E670" s="352"/>
      <c r="F670" s="352"/>
      <c r="G670" s="352"/>
      <c r="H670" s="352"/>
      <c r="I670" s="352"/>
      <c r="J670" s="352"/>
      <c r="K670" s="352"/>
      <c r="L670" s="352"/>
      <c r="M670" s="352"/>
      <c r="N670" s="352"/>
      <c r="O670" s="352"/>
      <c r="P670" s="352"/>
      <c r="Q670" s="352"/>
      <c r="R670" s="352"/>
      <c r="S670" s="352"/>
      <c r="T670" s="352"/>
      <c r="U670" s="352"/>
      <c r="V670" s="352"/>
    </row>
    <row r="671" spans="1:22" ht="26.25" hidden="1" customHeight="1" x14ac:dyDescent="0.2">
      <c r="A671" s="352"/>
      <c r="B671" s="352"/>
      <c r="C671" s="352"/>
      <c r="D671" s="352"/>
      <c r="E671" s="352"/>
      <c r="F671" s="352"/>
      <c r="G671" s="352"/>
      <c r="H671" s="352"/>
      <c r="I671" s="352"/>
      <c r="J671" s="352"/>
      <c r="K671" s="352"/>
      <c r="L671" s="352"/>
      <c r="M671" s="352"/>
      <c r="N671" s="352"/>
      <c r="O671" s="352"/>
      <c r="P671" s="352"/>
      <c r="Q671" s="352"/>
      <c r="R671" s="352"/>
      <c r="S671" s="352"/>
      <c r="T671" s="352"/>
      <c r="U671" s="352"/>
      <c r="V671" s="352"/>
    </row>
    <row r="672" spans="1:22" ht="26.25" hidden="1" customHeight="1" x14ac:dyDescent="0.2">
      <c r="A672" s="352"/>
      <c r="B672" s="352"/>
      <c r="C672" s="352"/>
      <c r="D672" s="352"/>
      <c r="E672" s="352"/>
      <c r="F672" s="352"/>
      <c r="G672" s="352"/>
      <c r="H672" s="352"/>
      <c r="I672" s="352"/>
      <c r="J672" s="352"/>
      <c r="K672" s="352"/>
      <c r="L672" s="352"/>
      <c r="M672" s="352"/>
      <c r="N672" s="352"/>
      <c r="O672" s="352"/>
      <c r="P672" s="352"/>
      <c r="Q672" s="352"/>
      <c r="R672" s="352"/>
      <c r="S672" s="352"/>
      <c r="T672" s="352"/>
      <c r="U672" s="352"/>
      <c r="V672" s="352"/>
    </row>
    <row r="673" spans="1:22" ht="26.25" hidden="1" customHeight="1" x14ac:dyDescent="0.2">
      <c r="A673" s="352"/>
      <c r="B673" s="352"/>
      <c r="C673" s="352"/>
      <c r="D673" s="352"/>
      <c r="E673" s="352"/>
      <c r="F673" s="352"/>
      <c r="G673" s="352"/>
      <c r="H673" s="352"/>
      <c r="I673" s="352"/>
      <c r="J673" s="352"/>
      <c r="K673" s="352"/>
      <c r="L673" s="352"/>
      <c r="M673" s="352"/>
      <c r="N673" s="352"/>
      <c r="O673" s="352"/>
      <c r="P673" s="352"/>
      <c r="Q673" s="352"/>
      <c r="R673" s="352"/>
      <c r="S673" s="352"/>
      <c r="T673" s="352"/>
      <c r="U673" s="352"/>
      <c r="V673" s="352"/>
    </row>
    <row r="674" spans="1:22" ht="26.25" hidden="1" customHeight="1" x14ac:dyDescent="0.2">
      <c r="A674" s="352"/>
      <c r="B674" s="352"/>
      <c r="C674" s="352"/>
      <c r="D674" s="352"/>
      <c r="E674" s="352"/>
      <c r="F674" s="352"/>
      <c r="G674" s="352"/>
      <c r="H674" s="352"/>
      <c r="I674" s="352"/>
      <c r="J674" s="352"/>
      <c r="K674" s="352"/>
      <c r="L674" s="352"/>
      <c r="M674" s="352"/>
      <c r="N674" s="352"/>
      <c r="O674" s="352"/>
      <c r="P674" s="352"/>
      <c r="Q674" s="352"/>
      <c r="R674" s="352"/>
      <c r="S674" s="352"/>
      <c r="T674" s="352"/>
      <c r="U674" s="352"/>
      <c r="V674" s="352"/>
    </row>
    <row r="675" spans="1:22" ht="26.25" hidden="1" customHeight="1" x14ac:dyDescent="0.2">
      <c r="A675" s="352"/>
      <c r="B675" s="352"/>
      <c r="C675" s="352"/>
      <c r="D675" s="352"/>
      <c r="E675" s="352"/>
      <c r="F675" s="352"/>
      <c r="G675" s="352"/>
      <c r="H675" s="352"/>
      <c r="I675" s="352"/>
      <c r="J675" s="352"/>
      <c r="K675" s="352"/>
      <c r="L675" s="352"/>
      <c r="M675" s="352"/>
      <c r="N675" s="352"/>
      <c r="O675" s="352"/>
      <c r="P675" s="352"/>
      <c r="Q675" s="352"/>
      <c r="R675" s="352"/>
      <c r="S675" s="352"/>
      <c r="T675" s="352"/>
      <c r="U675" s="352"/>
      <c r="V675" s="352"/>
    </row>
    <row r="676" spans="1:22" ht="26.25" hidden="1" customHeight="1" x14ac:dyDescent="0.2">
      <c r="A676" s="352"/>
      <c r="B676" s="352"/>
      <c r="C676" s="352"/>
      <c r="D676" s="352"/>
      <c r="E676" s="352"/>
      <c r="F676" s="352"/>
      <c r="G676" s="352"/>
      <c r="H676" s="352"/>
      <c r="I676" s="352"/>
      <c r="J676" s="352"/>
      <c r="K676" s="352"/>
      <c r="L676" s="352"/>
      <c r="M676" s="352"/>
      <c r="N676" s="352"/>
      <c r="O676" s="352"/>
      <c r="P676" s="352"/>
      <c r="Q676" s="352"/>
      <c r="R676" s="352"/>
      <c r="S676" s="352"/>
      <c r="T676" s="352"/>
      <c r="U676" s="352"/>
      <c r="V676" s="352"/>
    </row>
    <row r="677" spans="1:22" ht="26.25" hidden="1" customHeight="1" x14ac:dyDescent="0.2">
      <c r="A677" s="352"/>
      <c r="B677" s="352"/>
      <c r="C677" s="352"/>
      <c r="D677" s="352"/>
      <c r="E677" s="352"/>
      <c r="F677" s="352"/>
      <c r="G677" s="352"/>
      <c r="H677" s="352"/>
      <c r="I677" s="352"/>
      <c r="J677" s="352"/>
      <c r="K677" s="352"/>
      <c r="L677" s="352"/>
      <c r="M677" s="352"/>
      <c r="N677" s="352"/>
      <c r="O677" s="352"/>
      <c r="P677" s="352"/>
      <c r="Q677" s="352"/>
      <c r="R677" s="352"/>
      <c r="S677" s="352"/>
      <c r="T677" s="352"/>
      <c r="U677" s="352"/>
      <c r="V677" s="352"/>
    </row>
    <row r="678" spans="1:22" ht="26.25" hidden="1" customHeight="1" x14ac:dyDescent="0.2">
      <c r="A678" s="352"/>
      <c r="B678" s="352"/>
      <c r="C678" s="352"/>
      <c r="D678" s="352"/>
      <c r="E678" s="352"/>
      <c r="F678" s="352"/>
      <c r="G678" s="352"/>
      <c r="H678" s="352"/>
      <c r="I678" s="352"/>
      <c r="J678" s="352"/>
      <c r="K678" s="352"/>
      <c r="L678" s="352"/>
      <c r="M678" s="352"/>
      <c r="N678" s="352"/>
      <c r="O678" s="352"/>
      <c r="P678" s="352"/>
      <c r="Q678" s="352"/>
      <c r="R678" s="352"/>
      <c r="S678" s="352"/>
      <c r="T678" s="352"/>
      <c r="U678" s="352"/>
      <c r="V678" s="352"/>
    </row>
    <row r="679" spans="1:22" ht="26.25" hidden="1" customHeight="1" x14ac:dyDescent="0.2">
      <c r="A679" s="352"/>
      <c r="B679" s="352"/>
      <c r="C679" s="352"/>
      <c r="D679" s="352"/>
      <c r="E679" s="352"/>
      <c r="F679" s="352"/>
      <c r="G679" s="352"/>
      <c r="H679" s="352"/>
      <c r="I679" s="352"/>
      <c r="J679" s="352"/>
      <c r="K679" s="352"/>
      <c r="L679" s="352"/>
      <c r="M679" s="352"/>
      <c r="N679" s="352"/>
      <c r="O679" s="352"/>
      <c r="P679" s="352"/>
      <c r="Q679" s="352"/>
      <c r="R679" s="352"/>
      <c r="S679" s="352"/>
      <c r="T679" s="352"/>
      <c r="U679" s="352"/>
      <c r="V679" s="352"/>
    </row>
    <row r="680" spans="1:22" ht="26.25" hidden="1" customHeight="1" x14ac:dyDescent="0.2">
      <c r="A680" s="352"/>
      <c r="B680" s="352"/>
      <c r="C680" s="352"/>
      <c r="D680" s="352"/>
      <c r="E680" s="352"/>
      <c r="F680" s="352"/>
      <c r="G680" s="352"/>
      <c r="H680" s="352"/>
      <c r="I680" s="352"/>
      <c r="J680" s="352"/>
      <c r="K680" s="352"/>
      <c r="L680" s="352"/>
      <c r="M680" s="352"/>
      <c r="N680" s="352"/>
      <c r="O680" s="352"/>
      <c r="P680" s="352"/>
      <c r="Q680" s="352"/>
      <c r="R680" s="352"/>
      <c r="S680" s="352"/>
      <c r="T680" s="352"/>
      <c r="U680" s="352"/>
      <c r="V680" s="352"/>
    </row>
    <row r="681" spans="1:22" ht="26.25" hidden="1" customHeight="1" x14ac:dyDescent="0.2">
      <c r="A681" s="352"/>
      <c r="B681" s="352"/>
      <c r="C681" s="352"/>
      <c r="D681" s="352"/>
      <c r="E681" s="352"/>
      <c r="F681" s="352"/>
      <c r="G681" s="352"/>
      <c r="H681" s="352"/>
      <c r="I681" s="352"/>
      <c r="J681" s="352"/>
      <c r="K681" s="352"/>
      <c r="L681" s="352"/>
      <c r="M681" s="352"/>
      <c r="N681" s="352"/>
      <c r="O681" s="352"/>
      <c r="P681" s="352"/>
      <c r="Q681" s="352"/>
      <c r="R681" s="352"/>
      <c r="S681" s="352"/>
      <c r="T681" s="352"/>
      <c r="U681" s="352"/>
      <c r="V681" s="352"/>
    </row>
    <row r="682" spans="1:22" ht="26.25" hidden="1" customHeight="1" x14ac:dyDescent="0.2">
      <c r="A682" s="352"/>
      <c r="B682" s="352"/>
      <c r="C682" s="352"/>
      <c r="D682" s="352"/>
      <c r="E682" s="352"/>
      <c r="F682" s="352"/>
      <c r="G682" s="352"/>
      <c r="H682" s="352"/>
      <c r="I682" s="352"/>
      <c r="J682" s="352"/>
      <c r="K682" s="352"/>
      <c r="L682" s="352"/>
      <c r="M682" s="352"/>
      <c r="N682" s="352"/>
      <c r="O682" s="352"/>
      <c r="P682" s="352"/>
      <c r="Q682" s="352"/>
      <c r="R682" s="352"/>
      <c r="S682" s="352"/>
      <c r="T682" s="352"/>
      <c r="U682" s="352"/>
      <c r="V682" s="352"/>
    </row>
    <row r="683" spans="1:22" ht="26.25" hidden="1" customHeight="1" x14ac:dyDescent="0.2">
      <c r="A683" s="352"/>
      <c r="B683" s="352"/>
      <c r="C683" s="352"/>
      <c r="D683" s="352"/>
      <c r="E683" s="352"/>
      <c r="F683" s="352"/>
      <c r="G683" s="352"/>
      <c r="H683" s="352"/>
      <c r="I683" s="352"/>
      <c r="J683" s="352"/>
      <c r="K683" s="352"/>
      <c r="L683" s="352"/>
      <c r="M683" s="352"/>
      <c r="N683" s="352"/>
      <c r="O683" s="352"/>
      <c r="P683" s="352"/>
      <c r="Q683" s="352"/>
      <c r="R683" s="352"/>
      <c r="S683" s="352"/>
      <c r="T683" s="352"/>
      <c r="U683" s="352"/>
      <c r="V683" s="352"/>
    </row>
    <row r="684" spans="1:22" ht="26.25" hidden="1" customHeight="1" x14ac:dyDescent="0.2">
      <c r="A684" s="352"/>
      <c r="B684" s="352"/>
      <c r="C684" s="352"/>
      <c r="D684" s="352"/>
      <c r="E684" s="352"/>
      <c r="F684" s="352"/>
      <c r="G684" s="352"/>
      <c r="H684" s="352"/>
      <c r="I684" s="352"/>
      <c r="J684" s="352"/>
      <c r="K684" s="352"/>
      <c r="L684" s="352"/>
      <c r="M684" s="352"/>
      <c r="N684" s="352"/>
      <c r="O684" s="352"/>
      <c r="P684" s="352"/>
      <c r="Q684" s="352"/>
      <c r="R684" s="352"/>
      <c r="S684" s="352"/>
      <c r="T684" s="352"/>
      <c r="U684" s="352"/>
      <c r="V684" s="352"/>
    </row>
    <row r="685" spans="1:22" ht="26.25" hidden="1" customHeight="1" x14ac:dyDescent="0.2">
      <c r="A685" s="352"/>
      <c r="B685" s="352"/>
      <c r="C685" s="352"/>
      <c r="D685" s="352"/>
      <c r="E685" s="352"/>
      <c r="F685" s="352"/>
      <c r="G685" s="352"/>
      <c r="H685" s="352"/>
      <c r="I685" s="352"/>
      <c r="J685" s="352"/>
      <c r="K685" s="352"/>
      <c r="L685" s="352"/>
      <c r="M685" s="352"/>
      <c r="N685" s="352"/>
      <c r="O685" s="352"/>
      <c r="P685" s="352"/>
      <c r="Q685" s="352"/>
      <c r="R685" s="352"/>
      <c r="S685" s="352"/>
      <c r="T685" s="352"/>
      <c r="U685" s="352"/>
      <c r="V685" s="352"/>
    </row>
    <row r="686" spans="1:22" ht="26.25" hidden="1" customHeight="1" x14ac:dyDescent="0.2">
      <c r="A686" s="352"/>
      <c r="B686" s="352"/>
      <c r="C686" s="352"/>
      <c r="D686" s="352"/>
      <c r="E686" s="352"/>
      <c r="F686" s="352"/>
      <c r="G686" s="352"/>
      <c r="H686" s="352"/>
      <c r="I686" s="352"/>
      <c r="J686" s="352"/>
      <c r="K686" s="352"/>
      <c r="L686" s="352"/>
      <c r="M686" s="352"/>
      <c r="N686" s="352"/>
      <c r="O686" s="352"/>
      <c r="P686" s="352"/>
      <c r="Q686" s="352"/>
      <c r="R686" s="352"/>
      <c r="S686" s="352"/>
      <c r="T686" s="352"/>
      <c r="U686" s="352"/>
      <c r="V686" s="352"/>
    </row>
    <row r="687" spans="1:22" ht="26.25" hidden="1" customHeight="1" x14ac:dyDescent="0.2">
      <c r="A687" s="352"/>
      <c r="B687" s="352"/>
      <c r="C687" s="352"/>
      <c r="D687" s="352"/>
      <c r="E687" s="352"/>
      <c r="F687" s="352"/>
      <c r="G687" s="352"/>
      <c r="H687" s="352"/>
      <c r="I687" s="352"/>
      <c r="J687" s="352"/>
      <c r="K687" s="352"/>
      <c r="L687" s="352"/>
      <c r="M687" s="352"/>
      <c r="N687" s="352"/>
      <c r="O687" s="352"/>
      <c r="P687" s="352"/>
      <c r="Q687" s="352"/>
      <c r="R687" s="352"/>
      <c r="S687" s="352"/>
      <c r="T687" s="352"/>
      <c r="U687" s="352"/>
      <c r="V687" s="352"/>
    </row>
    <row r="688" spans="1:22" ht="26.25" hidden="1" customHeight="1" x14ac:dyDescent="0.2">
      <c r="A688" s="352"/>
      <c r="B688" s="352"/>
      <c r="C688" s="352"/>
      <c r="D688" s="352"/>
      <c r="E688" s="352"/>
      <c r="F688" s="352"/>
      <c r="G688" s="352"/>
      <c r="H688" s="352"/>
      <c r="I688" s="352"/>
      <c r="J688" s="352"/>
      <c r="K688" s="352"/>
      <c r="L688" s="352"/>
      <c r="M688" s="352"/>
      <c r="N688" s="352"/>
      <c r="O688" s="352"/>
      <c r="P688" s="352"/>
      <c r="Q688" s="352"/>
      <c r="R688" s="352"/>
      <c r="S688" s="352"/>
      <c r="T688" s="352"/>
      <c r="U688" s="352"/>
      <c r="V688" s="352"/>
    </row>
    <row r="689" spans="1:22" ht="26.25" hidden="1" customHeight="1" x14ac:dyDescent="0.2">
      <c r="A689" s="352"/>
      <c r="B689" s="352"/>
      <c r="C689" s="352"/>
      <c r="D689" s="352"/>
      <c r="E689" s="352"/>
      <c r="F689" s="352"/>
      <c r="G689" s="352"/>
      <c r="H689" s="352"/>
      <c r="I689" s="352"/>
      <c r="J689" s="352"/>
      <c r="K689" s="352"/>
      <c r="L689" s="352"/>
      <c r="M689" s="352"/>
      <c r="N689" s="352"/>
      <c r="O689" s="352"/>
      <c r="P689" s="352"/>
      <c r="Q689" s="352"/>
      <c r="R689" s="352"/>
      <c r="S689" s="352"/>
      <c r="T689" s="352"/>
      <c r="U689" s="352"/>
      <c r="V689" s="352"/>
    </row>
    <row r="690" spans="1:22" ht="26.25" hidden="1" customHeight="1" x14ac:dyDescent="0.2">
      <c r="A690" s="352"/>
      <c r="B690" s="352"/>
      <c r="C690" s="352"/>
      <c r="D690" s="352"/>
      <c r="E690" s="352"/>
      <c r="F690" s="352"/>
      <c r="G690" s="352"/>
      <c r="H690" s="352"/>
      <c r="I690" s="352"/>
      <c r="J690" s="352"/>
      <c r="K690" s="352"/>
      <c r="L690" s="352"/>
      <c r="M690" s="352"/>
      <c r="N690" s="352"/>
      <c r="O690" s="352"/>
      <c r="P690" s="352"/>
      <c r="Q690" s="352"/>
      <c r="R690" s="352"/>
      <c r="S690" s="352"/>
      <c r="T690" s="352"/>
      <c r="U690" s="352"/>
      <c r="V690" s="352"/>
    </row>
    <row r="691" spans="1:22" ht="26.25" hidden="1" customHeight="1" x14ac:dyDescent="0.2">
      <c r="A691" s="352"/>
      <c r="B691" s="352"/>
      <c r="C691" s="352"/>
      <c r="D691" s="352"/>
      <c r="E691" s="352"/>
      <c r="F691" s="352"/>
      <c r="G691" s="352"/>
      <c r="H691" s="352"/>
      <c r="I691" s="352"/>
      <c r="J691" s="352"/>
      <c r="K691" s="352"/>
      <c r="L691" s="352"/>
      <c r="M691" s="352"/>
      <c r="N691" s="352"/>
      <c r="O691" s="352"/>
      <c r="P691" s="352"/>
      <c r="Q691" s="352"/>
      <c r="R691" s="352"/>
      <c r="S691" s="352"/>
      <c r="T691" s="352"/>
      <c r="U691" s="352"/>
      <c r="V691" s="352"/>
    </row>
    <row r="692" spans="1:22" ht="26.25" hidden="1" customHeight="1" x14ac:dyDescent="0.2">
      <c r="A692" s="352"/>
      <c r="B692" s="352"/>
      <c r="C692" s="352"/>
      <c r="D692" s="352"/>
      <c r="E692" s="352"/>
      <c r="F692" s="352"/>
      <c r="G692" s="352"/>
      <c r="H692" s="352"/>
      <c r="I692" s="352"/>
      <c r="J692" s="352"/>
      <c r="K692" s="352"/>
      <c r="L692" s="352"/>
      <c r="M692" s="352"/>
      <c r="N692" s="352"/>
      <c r="O692" s="352"/>
      <c r="P692" s="352"/>
      <c r="Q692" s="352"/>
      <c r="R692" s="352"/>
      <c r="S692" s="352"/>
      <c r="T692" s="352"/>
      <c r="U692" s="352"/>
      <c r="V692" s="352"/>
    </row>
    <row r="693" spans="1:22" ht="26.25" hidden="1" customHeight="1" x14ac:dyDescent="0.2">
      <c r="A693" s="352"/>
      <c r="B693" s="352"/>
      <c r="C693" s="352"/>
      <c r="D693" s="352"/>
      <c r="E693" s="352"/>
      <c r="F693" s="352"/>
      <c r="G693" s="352"/>
      <c r="H693" s="352"/>
      <c r="I693" s="352"/>
      <c r="J693" s="352"/>
      <c r="K693" s="352"/>
      <c r="L693" s="352"/>
      <c r="M693" s="352"/>
      <c r="N693" s="352"/>
      <c r="O693" s="352"/>
      <c r="P693" s="352"/>
      <c r="Q693" s="352"/>
      <c r="R693" s="352"/>
      <c r="S693" s="352"/>
      <c r="T693" s="352"/>
      <c r="U693" s="352"/>
      <c r="V693" s="352"/>
    </row>
    <row r="694" spans="1:22" ht="26.25" hidden="1" customHeight="1" x14ac:dyDescent="0.2">
      <c r="A694" s="352"/>
      <c r="B694" s="352"/>
      <c r="C694" s="352"/>
      <c r="D694" s="352"/>
      <c r="E694" s="352"/>
      <c r="F694" s="352"/>
      <c r="G694" s="352"/>
      <c r="H694" s="352"/>
      <c r="I694" s="352"/>
      <c r="J694" s="352"/>
      <c r="K694" s="352"/>
      <c r="L694" s="352"/>
      <c r="M694" s="352"/>
      <c r="N694" s="352"/>
      <c r="O694" s="352"/>
      <c r="P694" s="352"/>
      <c r="Q694" s="352"/>
      <c r="R694" s="352"/>
      <c r="S694" s="352"/>
      <c r="T694" s="352"/>
      <c r="U694" s="352"/>
      <c r="V694" s="352"/>
    </row>
    <row r="695" spans="1:22" ht="26.25" hidden="1" customHeight="1" x14ac:dyDescent="0.2">
      <c r="A695" s="352"/>
      <c r="B695" s="352"/>
      <c r="C695" s="352"/>
      <c r="D695" s="352"/>
      <c r="E695" s="352"/>
      <c r="F695" s="352"/>
      <c r="G695" s="352"/>
      <c r="H695" s="352"/>
      <c r="I695" s="352"/>
      <c r="J695" s="352"/>
      <c r="K695" s="352"/>
      <c r="L695" s="352"/>
      <c r="M695" s="352"/>
      <c r="N695" s="352"/>
      <c r="O695" s="352"/>
      <c r="P695" s="352"/>
      <c r="Q695" s="352"/>
      <c r="R695" s="352"/>
      <c r="S695" s="352"/>
      <c r="T695" s="352"/>
      <c r="U695" s="352"/>
      <c r="V695" s="352"/>
    </row>
    <row r="696" spans="1:22" ht="26.25" hidden="1" customHeight="1" x14ac:dyDescent="0.2">
      <c r="A696" s="352"/>
      <c r="B696" s="352"/>
      <c r="C696" s="352"/>
      <c r="D696" s="352"/>
      <c r="E696" s="352"/>
      <c r="F696" s="352"/>
      <c r="G696" s="352"/>
      <c r="H696" s="352"/>
      <c r="I696" s="352"/>
      <c r="J696" s="352"/>
      <c r="K696" s="352"/>
      <c r="L696" s="352"/>
      <c r="M696" s="352"/>
      <c r="N696" s="352"/>
      <c r="O696" s="352"/>
      <c r="P696" s="352"/>
      <c r="Q696" s="352"/>
      <c r="R696" s="352"/>
      <c r="S696" s="352"/>
      <c r="T696" s="352"/>
      <c r="U696" s="352"/>
      <c r="V696" s="352"/>
    </row>
    <row r="697" spans="1:22" ht="26.25" hidden="1" customHeight="1" x14ac:dyDescent="0.2">
      <c r="A697" s="352"/>
      <c r="B697" s="352"/>
      <c r="C697" s="352"/>
      <c r="D697" s="352"/>
      <c r="E697" s="352"/>
      <c r="F697" s="352"/>
      <c r="G697" s="352"/>
      <c r="H697" s="352"/>
      <c r="I697" s="352"/>
      <c r="J697" s="352"/>
      <c r="K697" s="352"/>
      <c r="L697" s="352"/>
      <c r="M697" s="352"/>
      <c r="N697" s="352"/>
      <c r="O697" s="352"/>
      <c r="P697" s="352"/>
      <c r="Q697" s="352"/>
      <c r="R697" s="352"/>
      <c r="S697" s="352"/>
      <c r="T697" s="352"/>
      <c r="U697" s="352"/>
      <c r="V697" s="352"/>
    </row>
    <row r="698" spans="1:22" ht="26.25" hidden="1" customHeight="1" x14ac:dyDescent="0.2">
      <c r="A698" s="352"/>
      <c r="B698" s="352"/>
      <c r="C698" s="352"/>
      <c r="D698" s="352"/>
      <c r="E698" s="352"/>
      <c r="F698" s="352"/>
      <c r="G698" s="352"/>
      <c r="H698" s="352"/>
      <c r="I698" s="352"/>
      <c r="J698" s="352"/>
      <c r="K698" s="352"/>
      <c r="L698" s="352"/>
      <c r="M698" s="352"/>
      <c r="N698" s="352"/>
      <c r="O698" s="352"/>
      <c r="P698" s="352"/>
      <c r="Q698" s="352"/>
      <c r="R698" s="352"/>
      <c r="S698" s="352"/>
      <c r="T698" s="352"/>
      <c r="U698" s="352"/>
      <c r="V698" s="352"/>
    </row>
    <row r="699" spans="1:22" ht="26.25" hidden="1" customHeight="1" x14ac:dyDescent="0.2">
      <c r="A699" s="352"/>
      <c r="B699" s="352"/>
      <c r="C699" s="352"/>
      <c r="D699" s="352"/>
      <c r="E699" s="352"/>
      <c r="F699" s="352"/>
      <c r="G699" s="352"/>
      <c r="H699" s="352"/>
      <c r="I699" s="352"/>
      <c r="J699" s="352"/>
      <c r="K699" s="352"/>
      <c r="L699" s="352"/>
      <c r="M699" s="352"/>
      <c r="N699" s="352"/>
      <c r="O699" s="352"/>
      <c r="P699" s="352"/>
      <c r="Q699" s="352"/>
      <c r="R699" s="352"/>
      <c r="S699" s="352"/>
      <c r="T699" s="352"/>
      <c r="U699" s="352"/>
      <c r="V699" s="352"/>
    </row>
    <row r="700" spans="1:22" ht="26.25" hidden="1" customHeight="1" x14ac:dyDescent="0.2">
      <c r="A700" s="352"/>
      <c r="B700" s="352"/>
      <c r="C700" s="352"/>
      <c r="D700" s="352"/>
      <c r="E700" s="352"/>
      <c r="F700" s="352"/>
      <c r="G700" s="352"/>
      <c r="H700" s="352"/>
      <c r="I700" s="352"/>
      <c r="J700" s="352"/>
      <c r="K700" s="352"/>
      <c r="L700" s="352"/>
      <c r="M700" s="352"/>
      <c r="N700" s="352"/>
      <c r="O700" s="352"/>
      <c r="P700" s="352"/>
      <c r="Q700" s="352"/>
      <c r="R700" s="352"/>
      <c r="S700" s="352"/>
      <c r="T700" s="352"/>
      <c r="U700" s="352"/>
      <c r="V700" s="352"/>
    </row>
    <row r="701" spans="1:22" ht="26.25" hidden="1" customHeight="1" x14ac:dyDescent="0.2">
      <c r="A701" s="352"/>
      <c r="B701" s="352"/>
      <c r="C701" s="352"/>
      <c r="D701" s="352"/>
      <c r="E701" s="352"/>
      <c r="F701" s="352"/>
      <c r="G701" s="352"/>
      <c r="H701" s="352"/>
      <c r="I701" s="352"/>
      <c r="J701" s="352"/>
      <c r="K701" s="352"/>
      <c r="L701" s="352"/>
      <c r="M701" s="352"/>
      <c r="N701" s="352"/>
      <c r="O701" s="352"/>
      <c r="P701" s="352"/>
      <c r="Q701" s="352"/>
      <c r="R701" s="352"/>
      <c r="S701" s="352"/>
      <c r="T701" s="352"/>
      <c r="U701" s="352"/>
      <c r="V701" s="352"/>
    </row>
    <row r="702" spans="1:22" ht="26.25" hidden="1" customHeight="1" x14ac:dyDescent="0.2">
      <c r="A702" s="352"/>
      <c r="B702" s="352"/>
      <c r="C702" s="352"/>
      <c r="D702" s="352"/>
      <c r="E702" s="352"/>
      <c r="F702" s="352"/>
      <c r="G702" s="352"/>
      <c r="H702" s="352"/>
      <c r="I702" s="352"/>
      <c r="J702" s="352"/>
      <c r="K702" s="352"/>
      <c r="L702" s="352"/>
      <c r="M702" s="352"/>
      <c r="N702" s="352"/>
      <c r="O702" s="352"/>
      <c r="P702" s="352"/>
      <c r="Q702" s="352"/>
      <c r="R702" s="352"/>
      <c r="S702" s="352"/>
      <c r="T702" s="352"/>
      <c r="U702" s="352"/>
      <c r="V702" s="352"/>
    </row>
    <row r="703" spans="1:22" ht="26.25" hidden="1" customHeight="1" x14ac:dyDescent="0.2">
      <c r="A703" s="352"/>
      <c r="B703" s="352"/>
      <c r="C703" s="352"/>
      <c r="D703" s="352"/>
      <c r="E703" s="352"/>
      <c r="F703" s="352"/>
      <c r="G703" s="352"/>
      <c r="H703" s="352"/>
      <c r="I703" s="352"/>
      <c r="J703" s="352"/>
      <c r="K703" s="352"/>
      <c r="L703" s="352"/>
      <c r="M703" s="352"/>
      <c r="N703" s="352"/>
      <c r="O703" s="352"/>
      <c r="P703" s="352"/>
      <c r="Q703" s="352"/>
      <c r="R703" s="352"/>
      <c r="S703" s="352"/>
      <c r="T703" s="352"/>
      <c r="U703" s="352"/>
      <c r="V703" s="352"/>
    </row>
    <row r="704" spans="1:22" ht="26.25" hidden="1" customHeight="1" x14ac:dyDescent="0.2">
      <c r="A704" s="352"/>
      <c r="B704" s="352"/>
      <c r="C704" s="352"/>
      <c r="D704" s="352"/>
      <c r="E704" s="352"/>
      <c r="F704" s="352"/>
      <c r="G704" s="352"/>
      <c r="H704" s="352"/>
      <c r="I704" s="352"/>
      <c r="J704" s="352"/>
      <c r="K704" s="352"/>
      <c r="L704" s="352"/>
      <c r="M704" s="352"/>
      <c r="N704" s="352"/>
      <c r="O704" s="352"/>
      <c r="P704" s="352"/>
      <c r="Q704" s="352"/>
      <c r="R704" s="352"/>
      <c r="S704" s="352"/>
      <c r="T704" s="352"/>
      <c r="U704" s="352"/>
      <c r="V704" s="352"/>
    </row>
    <row r="705" spans="1:22" ht="26.25" hidden="1" customHeight="1" x14ac:dyDescent="0.2">
      <c r="A705" s="352"/>
      <c r="B705" s="352"/>
      <c r="C705" s="352"/>
      <c r="D705" s="352"/>
      <c r="E705" s="352"/>
      <c r="F705" s="352"/>
      <c r="G705" s="352"/>
      <c r="H705" s="352"/>
      <c r="I705" s="352"/>
      <c r="J705" s="352"/>
      <c r="K705" s="352"/>
      <c r="L705" s="352"/>
      <c r="M705" s="352"/>
      <c r="N705" s="352"/>
      <c r="O705" s="352"/>
      <c r="P705" s="352"/>
      <c r="Q705" s="352"/>
      <c r="R705" s="352"/>
      <c r="S705" s="352"/>
      <c r="T705" s="352"/>
      <c r="U705" s="352"/>
      <c r="V705" s="352"/>
    </row>
    <row r="706" spans="1:22" ht="26.25" hidden="1" customHeight="1" x14ac:dyDescent="0.2">
      <c r="A706" s="352"/>
      <c r="B706" s="352"/>
      <c r="C706" s="352"/>
      <c r="D706" s="352"/>
      <c r="E706" s="352"/>
      <c r="F706" s="352"/>
      <c r="G706" s="352"/>
      <c r="H706" s="352"/>
      <c r="I706" s="352"/>
      <c r="J706" s="352"/>
      <c r="K706" s="352"/>
      <c r="L706" s="352"/>
      <c r="M706" s="352"/>
      <c r="N706" s="352"/>
      <c r="O706" s="352"/>
      <c r="P706" s="352"/>
      <c r="Q706" s="352"/>
      <c r="R706" s="352"/>
      <c r="S706" s="352"/>
      <c r="T706" s="352"/>
      <c r="U706" s="352"/>
      <c r="V706" s="352"/>
    </row>
    <row r="707" spans="1:22" ht="26.25" hidden="1" customHeight="1" x14ac:dyDescent="0.2">
      <c r="A707" s="352"/>
      <c r="B707" s="352"/>
      <c r="C707" s="352"/>
      <c r="D707" s="352"/>
      <c r="E707" s="352"/>
      <c r="F707" s="352"/>
      <c r="G707" s="352"/>
      <c r="H707" s="352"/>
      <c r="I707" s="352"/>
      <c r="J707" s="352"/>
      <c r="K707" s="352"/>
      <c r="L707" s="352"/>
      <c r="M707" s="352"/>
      <c r="N707" s="352"/>
      <c r="O707" s="352"/>
      <c r="P707" s="352"/>
      <c r="Q707" s="352"/>
      <c r="R707" s="352"/>
      <c r="S707" s="352"/>
      <c r="T707" s="352"/>
      <c r="U707" s="352"/>
      <c r="V707" s="352"/>
    </row>
    <row r="708" spans="1:22" ht="26.25" hidden="1" customHeight="1" x14ac:dyDescent="0.2">
      <c r="A708" s="352"/>
      <c r="B708" s="352"/>
      <c r="C708" s="352"/>
      <c r="D708" s="352"/>
      <c r="E708" s="352"/>
      <c r="F708" s="352"/>
      <c r="G708" s="352"/>
      <c r="H708" s="352"/>
      <c r="I708" s="352"/>
      <c r="J708" s="352"/>
      <c r="K708" s="352"/>
      <c r="L708" s="352"/>
      <c r="M708" s="352"/>
      <c r="N708" s="352"/>
      <c r="O708" s="352"/>
      <c r="P708" s="352"/>
      <c r="Q708" s="352"/>
      <c r="R708" s="352"/>
      <c r="S708" s="352"/>
      <c r="T708" s="352"/>
      <c r="U708" s="352"/>
      <c r="V708" s="352"/>
    </row>
    <row r="709" spans="1:22" ht="26.25" hidden="1" customHeight="1" x14ac:dyDescent="0.2">
      <c r="A709" s="352"/>
      <c r="B709" s="352"/>
      <c r="C709" s="352"/>
      <c r="D709" s="352"/>
      <c r="E709" s="352"/>
      <c r="F709" s="352"/>
      <c r="G709" s="352"/>
      <c r="H709" s="352"/>
      <c r="I709" s="352"/>
      <c r="J709" s="352"/>
      <c r="K709" s="352"/>
      <c r="L709" s="352"/>
      <c r="M709" s="352"/>
      <c r="N709" s="352"/>
      <c r="O709" s="352"/>
      <c r="P709" s="352"/>
      <c r="Q709" s="352"/>
      <c r="R709" s="352"/>
      <c r="S709" s="352"/>
      <c r="T709" s="352"/>
      <c r="U709" s="352"/>
      <c r="V709" s="352"/>
    </row>
    <row r="710" spans="1:22" ht="26.25" hidden="1" customHeight="1" x14ac:dyDescent="0.2">
      <c r="A710" s="352"/>
      <c r="B710" s="352"/>
      <c r="C710" s="352"/>
      <c r="D710" s="352"/>
      <c r="E710" s="352"/>
      <c r="F710" s="352"/>
      <c r="G710" s="352"/>
      <c r="H710" s="352"/>
      <c r="I710" s="352"/>
      <c r="J710" s="352"/>
      <c r="K710" s="352"/>
      <c r="L710" s="352"/>
      <c r="M710" s="352"/>
      <c r="N710" s="352"/>
      <c r="O710" s="352"/>
      <c r="P710" s="352"/>
      <c r="Q710" s="352"/>
      <c r="R710" s="352"/>
      <c r="S710" s="352"/>
      <c r="T710" s="352"/>
      <c r="U710" s="352"/>
      <c r="V710" s="352"/>
    </row>
    <row r="711" spans="1:22" ht="26.25" hidden="1" customHeight="1" x14ac:dyDescent="0.2">
      <c r="A711" s="352"/>
      <c r="B711" s="352"/>
      <c r="C711" s="352"/>
      <c r="D711" s="352"/>
      <c r="E711" s="352"/>
      <c r="F711" s="352"/>
      <c r="G711" s="352"/>
      <c r="H711" s="352"/>
      <c r="I711" s="352"/>
      <c r="J711" s="352"/>
      <c r="K711" s="352"/>
      <c r="L711" s="352"/>
      <c r="M711" s="352"/>
      <c r="N711" s="352"/>
      <c r="O711" s="352"/>
      <c r="P711" s="352"/>
      <c r="Q711" s="352"/>
      <c r="R711" s="352"/>
      <c r="S711" s="352"/>
      <c r="T711" s="352"/>
      <c r="U711" s="352"/>
      <c r="V711" s="352"/>
    </row>
    <row r="712" spans="1:22" ht="26.25" hidden="1" customHeight="1" x14ac:dyDescent="0.2">
      <c r="A712" s="352"/>
      <c r="B712" s="352"/>
      <c r="C712" s="352"/>
      <c r="D712" s="352"/>
      <c r="E712" s="352"/>
      <c r="F712" s="352"/>
      <c r="G712" s="352"/>
      <c r="H712" s="352"/>
      <c r="I712" s="352"/>
      <c r="J712" s="352"/>
      <c r="K712" s="352"/>
      <c r="L712" s="352"/>
      <c r="M712" s="352"/>
      <c r="N712" s="352"/>
      <c r="O712" s="352"/>
      <c r="P712" s="352"/>
      <c r="Q712" s="352"/>
      <c r="R712" s="352"/>
      <c r="S712" s="352"/>
      <c r="T712" s="352"/>
      <c r="U712" s="352"/>
      <c r="V712" s="352"/>
    </row>
    <row r="713" spans="1:22" ht="26.25" hidden="1" customHeight="1" x14ac:dyDescent="0.2">
      <c r="A713" s="352"/>
      <c r="B713" s="352"/>
      <c r="C713" s="352"/>
      <c r="D713" s="352"/>
      <c r="E713" s="352"/>
      <c r="F713" s="352"/>
      <c r="G713" s="352"/>
      <c r="H713" s="352"/>
      <c r="I713" s="352"/>
      <c r="J713" s="352"/>
      <c r="K713" s="352"/>
      <c r="L713" s="352"/>
      <c r="M713" s="352"/>
      <c r="N713" s="352"/>
      <c r="O713" s="352"/>
      <c r="P713" s="352"/>
      <c r="Q713" s="352"/>
      <c r="R713" s="352"/>
      <c r="S713" s="352"/>
      <c r="T713" s="352"/>
      <c r="U713" s="352"/>
      <c r="V713" s="352"/>
    </row>
    <row r="714" spans="1:22" ht="26.25" hidden="1" customHeight="1" x14ac:dyDescent="0.2">
      <c r="A714" s="352"/>
      <c r="B714" s="352"/>
      <c r="C714" s="352"/>
      <c r="D714" s="352"/>
      <c r="E714" s="352"/>
      <c r="F714" s="352"/>
      <c r="G714" s="352"/>
      <c r="H714" s="352"/>
      <c r="I714" s="352"/>
      <c r="J714" s="352"/>
      <c r="K714" s="352"/>
      <c r="L714" s="352"/>
      <c r="M714" s="352"/>
      <c r="N714" s="352"/>
      <c r="O714" s="352"/>
      <c r="P714" s="352"/>
      <c r="Q714" s="352"/>
      <c r="R714" s="352"/>
      <c r="S714" s="352"/>
      <c r="T714" s="352"/>
      <c r="U714" s="352"/>
      <c r="V714" s="352"/>
    </row>
    <row r="715" spans="1:22" ht="26.25" hidden="1" customHeight="1" x14ac:dyDescent="0.2">
      <c r="A715" s="352"/>
      <c r="B715" s="352"/>
      <c r="C715" s="352"/>
      <c r="D715" s="352"/>
      <c r="E715" s="352"/>
      <c r="F715" s="352"/>
      <c r="G715" s="352"/>
      <c r="H715" s="352"/>
      <c r="I715" s="352"/>
      <c r="J715" s="352"/>
      <c r="K715" s="352"/>
      <c r="L715" s="352"/>
      <c r="M715" s="352"/>
      <c r="N715" s="352"/>
      <c r="O715" s="352"/>
      <c r="P715" s="352"/>
      <c r="Q715" s="352"/>
      <c r="R715" s="352"/>
      <c r="S715" s="352"/>
      <c r="T715" s="352"/>
      <c r="U715" s="352"/>
      <c r="V715" s="352"/>
    </row>
    <row r="716" spans="1:22" ht="26.25" hidden="1" customHeight="1" x14ac:dyDescent="0.2">
      <c r="A716" s="352"/>
      <c r="B716" s="352"/>
      <c r="C716" s="352"/>
      <c r="D716" s="352"/>
      <c r="E716" s="352"/>
      <c r="F716" s="352"/>
      <c r="G716" s="352"/>
      <c r="H716" s="352"/>
      <c r="I716" s="352"/>
      <c r="J716" s="352"/>
      <c r="K716" s="352"/>
      <c r="L716" s="352"/>
      <c r="M716" s="352"/>
      <c r="N716" s="352"/>
      <c r="O716" s="352"/>
      <c r="P716" s="352"/>
      <c r="Q716" s="352"/>
      <c r="R716" s="352"/>
      <c r="S716" s="352"/>
      <c r="T716" s="352"/>
      <c r="U716" s="352"/>
      <c r="V716" s="352"/>
    </row>
    <row r="717" spans="1:22" ht="26.25" hidden="1" customHeight="1" x14ac:dyDescent="0.2">
      <c r="A717" s="352"/>
      <c r="B717" s="352"/>
      <c r="C717" s="352"/>
      <c r="D717" s="352"/>
      <c r="E717" s="352"/>
      <c r="F717" s="352"/>
      <c r="G717" s="352"/>
      <c r="H717" s="352"/>
      <c r="I717" s="352"/>
      <c r="J717" s="352"/>
      <c r="K717" s="352"/>
      <c r="L717" s="352"/>
      <c r="M717" s="352"/>
      <c r="N717" s="352"/>
      <c r="O717" s="352"/>
      <c r="P717" s="352"/>
      <c r="Q717" s="352"/>
      <c r="R717" s="352"/>
      <c r="S717" s="352"/>
      <c r="T717" s="352"/>
      <c r="U717" s="352"/>
      <c r="V717" s="352"/>
    </row>
    <row r="718" spans="1:22" ht="26.25" hidden="1" customHeight="1" x14ac:dyDescent="0.2">
      <c r="A718" s="352"/>
      <c r="B718" s="352"/>
      <c r="C718" s="352"/>
      <c r="D718" s="352"/>
      <c r="E718" s="352"/>
      <c r="F718" s="352"/>
      <c r="G718" s="352"/>
      <c r="H718" s="352"/>
      <c r="I718" s="352"/>
      <c r="J718" s="352"/>
      <c r="K718" s="352"/>
      <c r="L718" s="352"/>
      <c r="M718" s="352"/>
      <c r="N718" s="352"/>
      <c r="O718" s="352"/>
      <c r="P718" s="352"/>
      <c r="Q718" s="352"/>
      <c r="R718" s="352"/>
      <c r="S718" s="352"/>
      <c r="T718" s="352"/>
      <c r="U718" s="352"/>
      <c r="V718" s="352"/>
    </row>
    <row r="719" spans="1:22" ht="26.25" hidden="1" customHeight="1" x14ac:dyDescent="0.2">
      <c r="A719" s="352"/>
      <c r="B719" s="352"/>
      <c r="C719" s="352"/>
      <c r="D719" s="352"/>
      <c r="E719" s="352"/>
      <c r="F719" s="352"/>
      <c r="G719" s="352"/>
      <c r="H719" s="352"/>
      <c r="I719" s="352"/>
      <c r="J719" s="352"/>
      <c r="K719" s="352"/>
      <c r="L719" s="352"/>
      <c r="M719" s="352"/>
      <c r="N719" s="352"/>
      <c r="O719" s="352"/>
      <c r="P719" s="352"/>
      <c r="Q719" s="352"/>
      <c r="R719" s="352"/>
      <c r="S719" s="352"/>
      <c r="T719" s="352"/>
      <c r="U719" s="352"/>
      <c r="V719" s="352"/>
    </row>
    <row r="720" spans="1:22" ht="26.25" hidden="1" customHeight="1" x14ac:dyDescent="0.2">
      <c r="A720" s="352"/>
      <c r="B720" s="352"/>
      <c r="C720" s="352"/>
      <c r="D720" s="352"/>
      <c r="E720" s="352"/>
      <c r="F720" s="352"/>
      <c r="G720" s="352"/>
      <c r="H720" s="352"/>
      <c r="I720" s="352"/>
      <c r="J720" s="352"/>
      <c r="K720" s="352"/>
      <c r="L720" s="352"/>
      <c r="M720" s="352"/>
      <c r="N720" s="352"/>
      <c r="O720" s="352"/>
      <c r="P720" s="352"/>
      <c r="Q720" s="352"/>
      <c r="R720" s="352"/>
      <c r="S720" s="352"/>
      <c r="T720" s="352"/>
      <c r="U720" s="352"/>
      <c r="V720" s="352"/>
    </row>
    <row r="721" spans="1:22" ht="26.25" hidden="1" customHeight="1" x14ac:dyDescent="0.2">
      <c r="A721" s="352"/>
      <c r="B721" s="352"/>
      <c r="C721" s="352"/>
      <c r="D721" s="352"/>
      <c r="E721" s="352"/>
      <c r="F721" s="352"/>
      <c r="G721" s="352"/>
      <c r="H721" s="352"/>
      <c r="I721" s="352"/>
      <c r="J721" s="352"/>
      <c r="K721" s="352"/>
      <c r="L721" s="352"/>
      <c r="M721" s="352"/>
      <c r="N721" s="352"/>
      <c r="O721" s="352"/>
      <c r="P721" s="352"/>
      <c r="Q721" s="352"/>
      <c r="R721" s="352"/>
      <c r="S721" s="352"/>
      <c r="T721" s="352"/>
      <c r="U721" s="352"/>
      <c r="V721" s="352"/>
    </row>
    <row r="722" spans="1:22" ht="26.25" hidden="1" customHeight="1" x14ac:dyDescent="0.2">
      <c r="A722" s="352"/>
      <c r="B722" s="352"/>
      <c r="C722" s="352"/>
      <c r="D722" s="352"/>
      <c r="E722" s="352"/>
      <c r="F722" s="352"/>
      <c r="G722" s="352"/>
      <c r="H722" s="352"/>
      <c r="I722" s="352"/>
      <c r="J722" s="352"/>
      <c r="K722" s="352"/>
      <c r="L722" s="352"/>
      <c r="M722" s="352"/>
      <c r="N722" s="352"/>
      <c r="O722" s="352"/>
      <c r="P722" s="352"/>
      <c r="Q722" s="352"/>
      <c r="R722" s="352"/>
      <c r="S722" s="352"/>
      <c r="T722" s="352"/>
      <c r="U722" s="352"/>
      <c r="V722" s="352"/>
    </row>
    <row r="723" spans="1:22" ht="26.25" hidden="1" customHeight="1" x14ac:dyDescent="0.2">
      <c r="A723" s="352"/>
      <c r="B723" s="352"/>
      <c r="C723" s="352"/>
      <c r="D723" s="352"/>
      <c r="E723" s="352"/>
      <c r="F723" s="352"/>
      <c r="G723" s="352"/>
      <c r="H723" s="352"/>
      <c r="I723" s="352"/>
      <c r="J723" s="352"/>
      <c r="K723" s="352"/>
      <c r="L723" s="352"/>
      <c r="M723" s="352"/>
      <c r="N723" s="352"/>
      <c r="O723" s="352"/>
      <c r="P723" s="352"/>
      <c r="Q723" s="352"/>
      <c r="R723" s="352"/>
      <c r="S723" s="352"/>
      <c r="T723" s="352"/>
      <c r="U723" s="352"/>
      <c r="V723" s="352"/>
    </row>
    <row r="724" spans="1:22" ht="26.25" hidden="1" customHeight="1" x14ac:dyDescent="0.2">
      <c r="A724" s="352"/>
      <c r="B724" s="352"/>
      <c r="C724" s="352"/>
      <c r="D724" s="352"/>
      <c r="E724" s="352"/>
      <c r="F724" s="352"/>
      <c r="G724" s="352"/>
      <c r="H724" s="352"/>
      <c r="I724" s="352"/>
      <c r="J724" s="352"/>
      <c r="K724" s="352"/>
      <c r="L724" s="352"/>
      <c r="M724" s="352"/>
      <c r="N724" s="352"/>
      <c r="O724" s="352"/>
      <c r="P724" s="352"/>
      <c r="Q724" s="352"/>
      <c r="R724" s="352"/>
      <c r="S724" s="352"/>
      <c r="T724" s="352"/>
      <c r="U724" s="352"/>
      <c r="V724" s="352"/>
    </row>
    <row r="725" spans="1:22" ht="26.25" hidden="1" customHeight="1" x14ac:dyDescent="0.2">
      <c r="A725" s="352"/>
      <c r="B725" s="352"/>
      <c r="C725" s="352"/>
      <c r="D725" s="352"/>
      <c r="E725" s="352"/>
      <c r="F725" s="352"/>
      <c r="G725" s="352"/>
      <c r="H725" s="352"/>
      <c r="I725" s="352"/>
      <c r="J725" s="352"/>
      <c r="K725" s="352"/>
      <c r="L725" s="352"/>
      <c r="M725" s="352"/>
      <c r="N725" s="352"/>
      <c r="O725" s="352"/>
      <c r="P725" s="352"/>
      <c r="Q725" s="352"/>
      <c r="R725" s="352"/>
      <c r="S725" s="352"/>
      <c r="T725" s="352"/>
      <c r="U725" s="352"/>
      <c r="V725" s="352"/>
    </row>
    <row r="726" spans="1:22" ht="26.25" hidden="1" customHeight="1" x14ac:dyDescent="0.2">
      <c r="A726" s="352"/>
      <c r="B726" s="352"/>
      <c r="C726" s="352"/>
      <c r="D726" s="352"/>
      <c r="E726" s="352"/>
      <c r="F726" s="352"/>
      <c r="G726" s="352"/>
      <c r="H726" s="352"/>
      <c r="I726" s="352"/>
      <c r="J726" s="352"/>
      <c r="K726" s="352"/>
      <c r="L726" s="352"/>
      <c r="M726" s="352"/>
      <c r="N726" s="352"/>
      <c r="O726" s="352"/>
      <c r="P726" s="352"/>
      <c r="Q726" s="352"/>
      <c r="R726" s="352"/>
      <c r="S726" s="352"/>
      <c r="T726" s="352"/>
      <c r="U726" s="352"/>
      <c r="V726" s="352"/>
    </row>
    <row r="727" spans="1:22" ht="26.25" hidden="1" customHeight="1" x14ac:dyDescent="0.2">
      <c r="A727" s="352"/>
      <c r="B727" s="352"/>
      <c r="C727" s="352"/>
      <c r="D727" s="352"/>
      <c r="E727" s="352"/>
      <c r="F727" s="352"/>
      <c r="G727" s="352"/>
      <c r="H727" s="352"/>
      <c r="I727" s="352"/>
      <c r="J727" s="352"/>
      <c r="K727" s="352"/>
      <c r="L727" s="352"/>
      <c r="M727" s="352"/>
      <c r="N727" s="352"/>
      <c r="O727" s="352"/>
      <c r="P727" s="352"/>
      <c r="Q727" s="352"/>
      <c r="R727" s="352"/>
      <c r="S727" s="352"/>
      <c r="T727" s="352"/>
      <c r="U727" s="352"/>
      <c r="V727" s="352"/>
    </row>
    <row r="728" spans="1:22" ht="26.25" hidden="1" customHeight="1" x14ac:dyDescent="0.2">
      <c r="A728" s="352"/>
      <c r="B728" s="352"/>
      <c r="C728" s="352"/>
      <c r="D728" s="352"/>
      <c r="E728" s="352"/>
      <c r="F728" s="352"/>
      <c r="G728" s="352"/>
      <c r="H728" s="352"/>
      <c r="I728" s="352"/>
      <c r="J728" s="352"/>
      <c r="K728" s="352"/>
      <c r="L728" s="352"/>
      <c r="M728" s="352"/>
      <c r="N728" s="352"/>
      <c r="O728" s="352"/>
      <c r="P728" s="352"/>
      <c r="Q728" s="352"/>
      <c r="R728" s="352"/>
      <c r="S728" s="352"/>
      <c r="T728" s="352"/>
      <c r="U728" s="352"/>
      <c r="V728" s="352"/>
    </row>
    <row r="729" spans="1:22" ht="26.25" hidden="1" customHeight="1" x14ac:dyDescent="0.2">
      <c r="A729" s="352"/>
      <c r="B729" s="352"/>
      <c r="C729" s="352"/>
      <c r="D729" s="352"/>
      <c r="E729" s="352"/>
      <c r="F729" s="352"/>
      <c r="G729" s="352"/>
      <c r="H729" s="352"/>
      <c r="I729" s="352"/>
      <c r="J729" s="352"/>
      <c r="K729" s="352"/>
      <c r="L729" s="352"/>
      <c r="M729" s="352"/>
      <c r="N729" s="352"/>
      <c r="O729" s="352"/>
      <c r="P729" s="352"/>
      <c r="Q729" s="352"/>
      <c r="R729" s="352"/>
      <c r="S729" s="352"/>
      <c r="T729" s="352"/>
      <c r="U729" s="352"/>
      <c r="V729" s="352"/>
    </row>
    <row r="730" spans="1:22" ht="26.25" hidden="1" customHeight="1" x14ac:dyDescent="0.2">
      <c r="A730" s="352"/>
      <c r="B730" s="352"/>
      <c r="C730" s="352"/>
      <c r="D730" s="352"/>
      <c r="E730" s="352"/>
      <c r="F730" s="352"/>
      <c r="G730" s="352"/>
      <c r="H730" s="352"/>
      <c r="I730" s="352"/>
      <c r="J730" s="352"/>
      <c r="K730" s="352"/>
      <c r="L730" s="352"/>
      <c r="M730" s="352"/>
      <c r="N730" s="352"/>
      <c r="O730" s="352"/>
      <c r="P730" s="352"/>
      <c r="Q730" s="352"/>
      <c r="R730" s="352"/>
      <c r="S730" s="352"/>
      <c r="T730" s="352"/>
      <c r="U730" s="352"/>
      <c r="V730" s="352"/>
    </row>
    <row r="731" spans="1:22" ht="26.25" hidden="1" customHeight="1" x14ac:dyDescent="0.2">
      <c r="A731" s="352"/>
      <c r="B731" s="352"/>
      <c r="C731" s="352"/>
      <c r="D731" s="352"/>
      <c r="E731" s="352"/>
      <c r="F731" s="352"/>
      <c r="G731" s="352"/>
      <c r="H731" s="352"/>
      <c r="I731" s="352"/>
      <c r="J731" s="352"/>
      <c r="K731" s="352"/>
      <c r="L731" s="352"/>
      <c r="M731" s="352"/>
      <c r="N731" s="352"/>
      <c r="O731" s="352"/>
      <c r="P731" s="352"/>
      <c r="Q731" s="352"/>
      <c r="R731" s="352"/>
      <c r="S731" s="352"/>
      <c r="T731" s="352"/>
      <c r="U731" s="352"/>
      <c r="V731" s="352"/>
    </row>
    <row r="732" spans="1:22" ht="26.25" hidden="1" customHeight="1" x14ac:dyDescent="0.2">
      <c r="A732" s="352"/>
      <c r="B732" s="352"/>
      <c r="C732" s="352"/>
      <c r="D732" s="352"/>
      <c r="E732" s="352"/>
      <c r="F732" s="352"/>
      <c r="G732" s="352"/>
      <c r="H732" s="352"/>
      <c r="I732" s="352"/>
      <c r="J732" s="352"/>
      <c r="K732" s="352"/>
      <c r="L732" s="352"/>
      <c r="M732" s="352"/>
      <c r="N732" s="352"/>
      <c r="O732" s="352"/>
      <c r="P732" s="352"/>
      <c r="Q732" s="352"/>
      <c r="R732" s="352"/>
      <c r="S732" s="352"/>
      <c r="T732" s="352"/>
      <c r="U732" s="352"/>
      <c r="V732" s="352"/>
    </row>
    <row r="733" spans="1:22" ht="26.25" hidden="1" customHeight="1" x14ac:dyDescent="0.2">
      <c r="A733" s="352"/>
      <c r="B733" s="352"/>
      <c r="C733" s="352"/>
      <c r="D733" s="352"/>
      <c r="E733" s="352"/>
      <c r="F733" s="352"/>
      <c r="G733" s="352"/>
      <c r="H733" s="352"/>
      <c r="I733" s="352"/>
      <c r="J733" s="352"/>
      <c r="K733" s="352"/>
      <c r="L733" s="352"/>
      <c r="M733" s="352"/>
      <c r="N733" s="352"/>
      <c r="O733" s="352"/>
      <c r="P733" s="352"/>
      <c r="Q733" s="352"/>
      <c r="R733" s="352"/>
      <c r="S733" s="352"/>
      <c r="T733" s="352"/>
      <c r="U733" s="352"/>
      <c r="V733" s="352"/>
    </row>
    <row r="734" spans="1:22" ht="26.25" hidden="1" customHeight="1" x14ac:dyDescent="0.2">
      <c r="A734" s="352"/>
      <c r="B734" s="352"/>
      <c r="C734" s="352"/>
      <c r="D734" s="352"/>
      <c r="E734" s="352"/>
      <c r="F734" s="352"/>
      <c r="G734" s="352"/>
      <c r="H734" s="352"/>
      <c r="I734" s="352"/>
      <c r="J734" s="352"/>
      <c r="K734" s="352"/>
      <c r="L734" s="352"/>
      <c r="M734" s="352"/>
      <c r="N734" s="352"/>
      <c r="O734" s="352"/>
      <c r="P734" s="352"/>
      <c r="Q734" s="352"/>
      <c r="R734" s="352"/>
      <c r="S734" s="352"/>
      <c r="T734" s="352"/>
      <c r="U734" s="352"/>
      <c r="V734" s="352"/>
    </row>
    <row r="735" spans="1:22" ht="26.25" hidden="1" customHeight="1" x14ac:dyDescent="0.2">
      <c r="A735" s="352"/>
      <c r="B735" s="352"/>
      <c r="C735" s="352"/>
      <c r="D735" s="352"/>
      <c r="E735" s="352"/>
      <c r="F735" s="352"/>
      <c r="G735" s="352"/>
      <c r="H735" s="352"/>
      <c r="I735" s="352"/>
      <c r="J735" s="352"/>
      <c r="K735" s="352"/>
      <c r="L735" s="352"/>
      <c r="M735" s="352"/>
      <c r="N735" s="352"/>
      <c r="O735" s="352"/>
      <c r="P735" s="352"/>
      <c r="Q735" s="352"/>
      <c r="R735" s="352"/>
      <c r="S735" s="352"/>
      <c r="T735" s="352"/>
      <c r="U735" s="352"/>
      <c r="V735" s="352"/>
    </row>
    <row r="736" spans="1:22" ht="26.25" hidden="1" customHeight="1" x14ac:dyDescent="0.2">
      <c r="A736" s="352"/>
      <c r="B736" s="352"/>
      <c r="C736" s="352"/>
      <c r="D736" s="352"/>
      <c r="E736" s="352"/>
      <c r="F736" s="352"/>
      <c r="G736" s="352"/>
      <c r="H736" s="352"/>
      <c r="I736" s="352"/>
      <c r="J736" s="352"/>
      <c r="K736" s="352"/>
      <c r="L736" s="352"/>
      <c r="M736" s="352"/>
      <c r="N736" s="352"/>
      <c r="O736" s="352"/>
      <c r="P736" s="352"/>
      <c r="Q736" s="352"/>
      <c r="R736" s="352"/>
      <c r="S736" s="352"/>
      <c r="T736" s="352"/>
      <c r="U736" s="352"/>
      <c r="V736" s="352"/>
    </row>
    <row r="737" spans="1:22" ht="26.25" hidden="1" customHeight="1" x14ac:dyDescent="0.2">
      <c r="A737" s="352"/>
      <c r="B737" s="352"/>
      <c r="C737" s="352"/>
      <c r="D737" s="352"/>
      <c r="E737" s="352"/>
      <c r="F737" s="352"/>
      <c r="G737" s="352"/>
      <c r="H737" s="352"/>
      <c r="I737" s="352"/>
      <c r="J737" s="352"/>
      <c r="K737" s="352"/>
      <c r="L737" s="352"/>
      <c r="M737" s="352"/>
      <c r="N737" s="352"/>
      <c r="O737" s="352"/>
      <c r="P737" s="352"/>
      <c r="Q737" s="352"/>
      <c r="R737" s="352"/>
      <c r="S737" s="352"/>
      <c r="T737" s="352"/>
      <c r="U737" s="352"/>
      <c r="V737" s="352"/>
    </row>
    <row r="738" spans="1:22" ht="26.25" hidden="1" customHeight="1" x14ac:dyDescent="0.2">
      <c r="A738" s="352"/>
      <c r="B738" s="352"/>
      <c r="C738" s="352"/>
      <c r="D738" s="352"/>
      <c r="E738" s="352"/>
      <c r="F738" s="352"/>
      <c r="G738" s="352"/>
      <c r="H738" s="352"/>
      <c r="I738" s="352"/>
      <c r="J738" s="352"/>
      <c r="K738" s="352"/>
      <c r="L738" s="352"/>
      <c r="M738" s="352"/>
      <c r="N738" s="352"/>
      <c r="O738" s="352"/>
      <c r="P738" s="352"/>
      <c r="Q738" s="352"/>
      <c r="R738" s="352"/>
      <c r="S738" s="352"/>
      <c r="T738" s="352"/>
      <c r="U738" s="352"/>
      <c r="V738" s="352"/>
    </row>
    <row r="739" spans="1:22" ht="26.25" hidden="1" customHeight="1" x14ac:dyDescent="0.2">
      <c r="A739" s="352"/>
      <c r="B739" s="352"/>
      <c r="C739" s="352"/>
      <c r="D739" s="352"/>
      <c r="E739" s="352"/>
      <c r="F739" s="352"/>
      <c r="G739" s="352"/>
      <c r="H739" s="352"/>
      <c r="I739" s="352"/>
      <c r="J739" s="352"/>
      <c r="K739" s="352"/>
      <c r="L739" s="352"/>
      <c r="M739" s="352"/>
      <c r="N739" s="352"/>
      <c r="O739" s="352"/>
      <c r="P739" s="352"/>
      <c r="Q739" s="352"/>
      <c r="R739" s="352"/>
      <c r="S739" s="352"/>
      <c r="T739" s="352"/>
      <c r="U739" s="352"/>
      <c r="V739" s="352"/>
    </row>
    <row r="740" spans="1:22" ht="26.25" hidden="1" customHeight="1" x14ac:dyDescent="0.2">
      <c r="A740" s="352"/>
      <c r="B740" s="352"/>
      <c r="C740" s="352"/>
      <c r="D740" s="352"/>
      <c r="E740" s="352"/>
      <c r="F740" s="352"/>
      <c r="G740" s="352"/>
      <c r="H740" s="352"/>
      <c r="I740" s="352"/>
      <c r="J740" s="352"/>
      <c r="K740" s="352"/>
      <c r="L740" s="352"/>
      <c r="M740" s="352"/>
      <c r="N740" s="352"/>
      <c r="O740" s="352"/>
      <c r="P740" s="352"/>
      <c r="Q740" s="352"/>
      <c r="R740" s="352"/>
      <c r="S740" s="352"/>
      <c r="T740" s="352"/>
      <c r="U740" s="352"/>
      <c r="V740" s="352"/>
    </row>
    <row r="741" spans="1:22" ht="26.25" hidden="1" customHeight="1" x14ac:dyDescent="0.2">
      <c r="A741" s="352"/>
      <c r="B741" s="352"/>
      <c r="C741" s="352"/>
      <c r="D741" s="352"/>
      <c r="E741" s="352"/>
      <c r="F741" s="352"/>
      <c r="G741" s="352"/>
      <c r="H741" s="352"/>
      <c r="I741" s="352"/>
      <c r="J741" s="352"/>
      <c r="K741" s="352"/>
      <c r="L741" s="352"/>
      <c r="M741" s="352"/>
      <c r="N741" s="352"/>
      <c r="O741" s="352"/>
      <c r="P741" s="352"/>
      <c r="Q741" s="352"/>
      <c r="R741" s="352"/>
      <c r="S741" s="352"/>
      <c r="T741" s="352"/>
      <c r="U741" s="352"/>
      <c r="V741" s="352"/>
    </row>
    <row r="742" spans="1:22" ht="26.25" hidden="1" customHeight="1" x14ac:dyDescent="0.2">
      <c r="A742" s="352"/>
      <c r="B742" s="352"/>
      <c r="C742" s="352"/>
      <c r="D742" s="352"/>
      <c r="E742" s="352"/>
      <c r="F742" s="352"/>
      <c r="G742" s="352"/>
      <c r="H742" s="352"/>
      <c r="I742" s="352"/>
      <c r="J742" s="352"/>
      <c r="K742" s="352"/>
      <c r="L742" s="352"/>
      <c r="M742" s="352"/>
      <c r="N742" s="352"/>
      <c r="O742" s="352"/>
      <c r="P742" s="352"/>
      <c r="Q742" s="352"/>
      <c r="R742" s="352"/>
      <c r="S742" s="352"/>
      <c r="T742" s="352"/>
      <c r="U742" s="352"/>
      <c r="V742" s="352"/>
    </row>
    <row r="743" spans="1:22" ht="26.25" hidden="1" customHeight="1" x14ac:dyDescent="0.2">
      <c r="A743" s="352"/>
      <c r="B743" s="352"/>
      <c r="C743" s="352"/>
      <c r="D743" s="352"/>
      <c r="E743" s="352"/>
      <c r="F743" s="352"/>
      <c r="G743" s="352"/>
      <c r="H743" s="352"/>
      <c r="I743" s="352"/>
      <c r="J743" s="352"/>
      <c r="K743" s="352"/>
      <c r="L743" s="352"/>
      <c r="M743" s="352"/>
      <c r="N743" s="352"/>
      <c r="O743" s="352"/>
      <c r="P743" s="352"/>
      <c r="Q743" s="352"/>
      <c r="R743" s="352"/>
      <c r="S743" s="352"/>
      <c r="T743" s="352"/>
      <c r="U743" s="352"/>
      <c r="V743" s="352"/>
    </row>
    <row r="744" spans="1:22" ht="26.25" hidden="1" customHeight="1" x14ac:dyDescent="0.2">
      <c r="A744" s="352"/>
      <c r="B744" s="352"/>
      <c r="C744" s="352"/>
      <c r="D744" s="352"/>
      <c r="E744" s="352"/>
      <c r="F744" s="352"/>
      <c r="G744" s="352"/>
      <c r="H744" s="352"/>
      <c r="I744" s="352"/>
      <c r="J744" s="352"/>
      <c r="K744" s="352"/>
      <c r="L744" s="352"/>
      <c r="M744" s="352"/>
      <c r="N744" s="352"/>
      <c r="O744" s="352"/>
      <c r="P744" s="352"/>
      <c r="Q744" s="352"/>
      <c r="R744" s="352"/>
      <c r="S744" s="352"/>
      <c r="T744" s="352"/>
      <c r="U744" s="352"/>
      <c r="V744" s="352"/>
    </row>
    <row r="745" spans="1:22" ht="26.25" hidden="1" customHeight="1" x14ac:dyDescent="0.2">
      <c r="A745" s="352"/>
      <c r="B745" s="352"/>
      <c r="C745" s="352"/>
      <c r="D745" s="352"/>
      <c r="E745" s="352"/>
      <c r="F745" s="352"/>
      <c r="G745" s="352"/>
      <c r="H745" s="352"/>
      <c r="I745" s="352"/>
      <c r="J745" s="352"/>
      <c r="K745" s="352"/>
      <c r="L745" s="352"/>
      <c r="M745" s="352"/>
      <c r="N745" s="352"/>
      <c r="O745" s="352"/>
      <c r="P745" s="352"/>
      <c r="Q745" s="352"/>
      <c r="R745" s="352"/>
      <c r="S745" s="352"/>
      <c r="T745" s="352"/>
      <c r="U745" s="352"/>
      <c r="V745" s="352"/>
    </row>
    <row r="746" spans="1:22" ht="26.25" hidden="1" customHeight="1" x14ac:dyDescent="0.2">
      <c r="A746" s="352"/>
      <c r="B746" s="352"/>
      <c r="C746" s="352"/>
      <c r="D746" s="352"/>
      <c r="E746" s="352"/>
      <c r="F746" s="352"/>
      <c r="G746" s="352"/>
      <c r="H746" s="352"/>
      <c r="I746" s="352"/>
      <c r="J746" s="352"/>
      <c r="K746" s="352"/>
      <c r="L746" s="352"/>
      <c r="M746" s="352"/>
      <c r="N746" s="352"/>
      <c r="O746" s="352"/>
      <c r="P746" s="352"/>
      <c r="Q746" s="352"/>
      <c r="R746" s="352"/>
      <c r="S746" s="352"/>
      <c r="T746" s="352"/>
      <c r="U746" s="352"/>
      <c r="V746" s="352"/>
    </row>
    <row r="747" spans="1:22" ht="26.25" hidden="1" customHeight="1" x14ac:dyDescent="0.2">
      <c r="A747" s="352"/>
      <c r="B747" s="352"/>
      <c r="C747" s="352"/>
      <c r="D747" s="352"/>
      <c r="E747" s="352"/>
      <c r="F747" s="352"/>
      <c r="G747" s="352"/>
      <c r="H747" s="352"/>
      <c r="I747" s="352"/>
      <c r="J747" s="352"/>
      <c r="K747" s="352"/>
      <c r="L747" s="352"/>
      <c r="M747" s="352"/>
      <c r="N747" s="352"/>
      <c r="O747" s="352"/>
      <c r="P747" s="352"/>
      <c r="Q747" s="352"/>
      <c r="R747" s="352"/>
      <c r="S747" s="352"/>
      <c r="T747" s="352"/>
      <c r="U747" s="352"/>
      <c r="V747" s="352"/>
    </row>
    <row r="748" spans="1:22" ht="26.25" hidden="1" customHeight="1" x14ac:dyDescent="0.2">
      <c r="A748" s="352"/>
      <c r="B748" s="352"/>
      <c r="C748" s="352"/>
      <c r="D748" s="352"/>
      <c r="E748" s="352"/>
      <c r="F748" s="352"/>
      <c r="G748" s="352"/>
      <c r="H748" s="352"/>
      <c r="I748" s="352"/>
      <c r="J748" s="352"/>
      <c r="K748" s="352"/>
      <c r="L748" s="352"/>
      <c r="M748" s="352"/>
      <c r="N748" s="352"/>
      <c r="O748" s="352"/>
      <c r="P748" s="352"/>
      <c r="Q748" s="352"/>
      <c r="R748" s="352"/>
      <c r="S748" s="352"/>
      <c r="T748" s="352"/>
      <c r="U748" s="352"/>
      <c r="V748" s="352"/>
    </row>
    <row r="749" spans="1:22" ht="26.25" hidden="1" customHeight="1" x14ac:dyDescent="0.2">
      <c r="A749" s="352"/>
      <c r="B749" s="352"/>
      <c r="C749" s="352"/>
      <c r="D749" s="352"/>
      <c r="E749" s="352"/>
      <c r="F749" s="352"/>
      <c r="G749" s="352"/>
      <c r="H749" s="352"/>
      <c r="I749" s="352"/>
      <c r="J749" s="352"/>
      <c r="K749" s="352"/>
      <c r="L749" s="352"/>
      <c r="M749" s="352"/>
      <c r="N749" s="352"/>
      <c r="O749" s="352"/>
      <c r="P749" s="352"/>
      <c r="Q749" s="352"/>
      <c r="R749" s="352"/>
      <c r="S749" s="352"/>
      <c r="T749" s="352"/>
      <c r="U749" s="352"/>
      <c r="V749" s="352"/>
    </row>
    <row r="750" spans="1:22" ht="26.25" hidden="1" customHeight="1" x14ac:dyDescent="0.2">
      <c r="A750" s="352"/>
      <c r="B750" s="352"/>
      <c r="C750" s="352"/>
      <c r="D750" s="352"/>
      <c r="E750" s="352"/>
      <c r="F750" s="352"/>
      <c r="G750" s="352"/>
      <c r="H750" s="352"/>
      <c r="I750" s="352"/>
      <c r="J750" s="352"/>
      <c r="K750" s="352"/>
      <c r="L750" s="352"/>
      <c r="M750" s="352"/>
      <c r="N750" s="352"/>
      <c r="O750" s="352"/>
      <c r="P750" s="352"/>
      <c r="Q750" s="352"/>
      <c r="R750" s="352"/>
      <c r="S750" s="352"/>
      <c r="T750" s="352"/>
      <c r="U750" s="352"/>
      <c r="V750" s="352"/>
    </row>
    <row r="751" spans="1:22" ht="26.25" hidden="1" customHeight="1" x14ac:dyDescent="0.2">
      <c r="A751" s="352"/>
      <c r="B751" s="352"/>
      <c r="C751" s="352"/>
      <c r="D751" s="352"/>
      <c r="E751" s="352"/>
      <c r="F751" s="352"/>
      <c r="G751" s="352"/>
      <c r="H751" s="352"/>
      <c r="I751" s="352"/>
      <c r="J751" s="352"/>
      <c r="K751" s="352"/>
      <c r="L751" s="352"/>
      <c r="M751" s="352"/>
      <c r="N751" s="352"/>
      <c r="O751" s="352"/>
      <c r="P751" s="352"/>
      <c r="Q751" s="352"/>
      <c r="R751" s="352"/>
      <c r="S751" s="352"/>
      <c r="T751" s="352"/>
      <c r="U751" s="352"/>
      <c r="V751" s="352"/>
    </row>
    <row r="752" spans="1:22" ht="26.25" hidden="1" customHeight="1" x14ac:dyDescent="0.2">
      <c r="A752" s="352"/>
      <c r="B752" s="352"/>
      <c r="C752" s="352"/>
      <c r="D752" s="352"/>
      <c r="E752" s="352"/>
      <c r="F752" s="352"/>
      <c r="G752" s="352"/>
      <c r="H752" s="352"/>
      <c r="I752" s="352"/>
      <c r="J752" s="352"/>
      <c r="K752" s="352"/>
      <c r="L752" s="352"/>
      <c r="M752" s="352"/>
      <c r="N752" s="352"/>
      <c r="O752" s="352"/>
      <c r="P752" s="352"/>
      <c r="Q752" s="352"/>
      <c r="R752" s="352"/>
      <c r="S752" s="352"/>
      <c r="T752" s="352"/>
      <c r="U752" s="352"/>
      <c r="V752" s="352"/>
    </row>
    <row r="753" spans="1:22" ht="26.25" hidden="1" customHeight="1" x14ac:dyDescent="0.2">
      <c r="A753" s="352"/>
      <c r="B753" s="352"/>
      <c r="C753" s="352"/>
      <c r="D753" s="352"/>
      <c r="E753" s="352"/>
      <c r="F753" s="352"/>
      <c r="G753" s="352"/>
      <c r="H753" s="352"/>
      <c r="I753" s="352"/>
      <c r="J753" s="352"/>
      <c r="K753" s="352"/>
      <c r="L753" s="352"/>
      <c r="M753" s="352"/>
      <c r="N753" s="352"/>
      <c r="O753" s="352"/>
      <c r="P753" s="352"/>
      <c r="Q753" s="352"/>
      <c r="R753" s="352"/>
      <c r="S753" s="352"/>
      <c r="T753" s="352"/>
      <c r="U753" s="352"/>
      <c r="V753" s="352"/>
    </row>
    <row r="754" spans="1:22" ht="26.25" hidden="1" customHeight="1" x14ac:dyDescent="0.2">
      <c r="A754" s="352"/>
      <c r="B754" s="352"/>
      <c r="C754" s="352"/>
      <c r="D754" s="352"/>
      <c r="E754" s="352"/>
      <c r="F754" s="352"/>
      <c r="G754" s="352"/>
      <c r="H754" s="352"/>
      <c r="I754" s="352"/>
      <c r="J754" s="352"/>
      <c r="K754" s="352"/>
      <c r="L754" s="352"/>
      <c r="M754" s="352"/>
      <c r="N754" s="352"/>
      <c r="O754" s="352"/>
      <c r="P754" s="352"/>
      <c r="Q754" s="352"/>
      <c r="R754" s="352"/>
      <c r="S754" s="352"/>
      <c r="T754" s="352"/>
      <c r="U754" s="352"/>
      <c r="V754" s="352"/>
    </row>
    <row r="755" spans="1:22" ht="26.25" hidden="1" customHeight="1" x14ac:dyDescent="0.2">
      <c r="A755" s="352"/>
      <c r="B755" s="352"/>
      <c r="C755" s="352"/>
      <c r="D755" s="352"/>
      <c r="E755" s="352"/>
      <c r="F755" s="352"/>
      <c r="G755" s="352"/>
      <c r="H755" s="352"/>
      <c r="I755" s="352"/>
      <c r="J755" s="352"/>
      <c r="K755" s="352"/>
      <c r="L755" s="352"/>
      <c r="M755" s="352"/>
      <c r="N755" s="352"/>
      <c r="O755" s="352"/>
      <c r="P755" s="352"/>
      <c r="Q755" s="352"/>
      <c r="R755" s="352"/>
      <c r="S755" s="352"/>
      <c r="T755" s="352"/>
      <c r="U755" s="352"/>
      <c r="V755" s="352"/>
    </row>
    <row r="756" spans="1:22" ht="26.25" hidden="1" customHeight="1" x14ac:dyDescent="0.2">
      <c r="A756" s="352"/>
      <c r="B756" s="352"/>
      <c r="C756" s="352"/>
      <c r="D756" s="352"/>
      <c r="E756" s="352"/>
      <c r="F756" s="352"/>
      <c r="G756" s="352"/>
      <c r="H756" s="352"/>
      <c r="I756" s="352"/>
      <c r="J756" s="352"/>
      <c r="K756" s="352"/>
      <c r="L756" s="352"/>
      <c r="M756" s="352"/>
      <c r="N756" s="352"/>
      <c r="O756" s="352"/>
      <c r="P756" s="352"/>
      <c r="Q756" s="352"/>
      <c r="R756" s="352"/>
      <c r="S756" s="352"/>
      <c r="T756" s="352"/>
      <c r="U756" s="352"/>
      <c r="V756" s="352"/>
    </row>
    <row r="757" spans="1:22" ht="26.25" hidden="1" customHeight="1" x14ac:dyDescent="0.2">
      <c r="A757" s="352"/>
      <c r="B757" s="352"/>
      <c r="C757" s="352"/>
      <c r="D757" s="352"/>
      <c r="E757" s="352"/>
      <c r="F757" s="352"/>
      <c r="G757" s="352"/>
      <c r="H757" s="352"/>
      <c r="I757" s="352"/>
      <c r="J757" s="352"/>
      <c r="K757" s="352"/>
      <c r="L757" s="352"/>
      <c r="M757" s="352"/>
      <c r="N757" s="352"/>
      <c r="O757" s="352"/>
      <c r="P757" s="352"/>
      <c r="Q757" s="352"/>
      <c r="R757" s="352"/>
      <c r="S757" s="352"/>
      <c r="T757" s="352"/>
      <c r="U757" s="352"/>
      <c r="V757" s="352"/>
    </row>
    <row r="758" spans="1:22" ht="26.25" hidden="1" customHeight="1" x14ac:dyDescent="0.2">
      <c r="A758" s="352"/>
      <c r="B758" s="352"/>
      <c r="C758" s="352"/>
      <c r="D758" s="352"/>
      <c r="E758" s="352"/>
      <c r="F758" s="352"/>
      <c r="G758" s="352"/>
      <c r="H758" s="352"/>
      <c r="I758" s="352"/>
      <c r="J758" s="352"/>
      <c r="K758" s="352"/>
      <c r="L758" s="352"/>
      <c r="M758" s="352"/>
      <c r="N758" s="352"/>
      <c r="O758" s="352"/>
      <c r="P758" s="352"/>
      <c r="Q758" s="352"/>
      <c r="R758" s="352"/>
      <c r="S758" s="352"/>
      <c r="T758" s="352"/>
      <c r="U758" s="352"/>
      <c r="V758" s="352"/>
    </row>
    <row r="759" spans="1:22" ht="26.25" hidden="1" customHeight="1" x14ac:dyDescent="0.2">
      <c r="A759" s="352"/>
      <c r="B759" s="352"/>
      <c r="C759" s="352"/>
      <c r="D759" s="352"/>
      <c r="E759" s="352"/>
      <c r="F759" s="352"/>
      <c r="G759" s="352"/>
      <c r="H759" s="352"/>
      <c r="I759" s="352"/>
      <c r="J759" s="352"/>
      <c r="K759" s="352"/>
      <c r="L759" s="352"/>
      <c r="M759" s="352"/>
      <c r="N759" s="352"/>
      <c r="O759" s="352"/>
      <c r="P759" s="352"/>
      <c r="Q759" s="352"/>
      <c r="R759" s="352"/>
      <c r="S759" s="352"/>
      <c r="T759" s="352"/>
      <c r="U759" s="352"/>
      <c r="V759" s="352"/>
    </row>
    <row r="760" spans="1:22" ht="26.25" hidden="1" customHeight="1" x14ac:dyDescent="0.2">
      <c r="A760" s="352"/>
      <c r="B760" s="352"/>
      <c r="C760" s="352"/>
      <c r="D760" s="352"/>
      <c r="E760" s="352"/>
      <c r="F760" s="352"/>
      <c r="G760" s="352"/>
      <c r="H760" s="352"/>
      <c r="I760" s="352"/>
      <c r="J760" s="352"/>
      <c r="K760" s="352"/>
      <c r="L760" s="352"/>
      <c r="M760" s="352"/>
      <c r="N760" s="352"/>
      <c r="O760" s="352"/>
      <c r="P760" s="352"/>
      <c r="Q760" s="352"/>
      <c r="R760" s="352"/>
      <c r="S760" s="352"/>
      <c r="T760" s="352"/>
      <c r="U760" s="352"/>
      <c r="V760" s="352"/>
    </row>
    <row r="761" spans="1:22" ht="26.25" hidden="1" customHeight="1" x14ac:dyDescent="0.2">
      <c r="A761" s="352"/>
      <c r="B761" s="352"/>
      <c r="C761" s="352"/>
      <c r="D761" s="352"/>
      <c r="E761" s="352"/>
      <c r="F761" s="352"/>
      <c r="G761" s="352"/>
      <c r="H761" s="352"/>
      <c r="I761" s="352"/>
      <c r="J761" s="352"/>
      <c r="K761" s="352"/>
      <c r="L761" s="352"/>
      <c r="M761" s="352"/>
      <c r="N761" s="352"/>
      <c r="O761" s="352"/>
      <c r="P761" s="352"/>
      <c r="Q761" s="352"/>
      <c r="R761" s="352"/>
      <c r="S761" s="352"/>
      <c r="T761" s="352"/>
      <c r="U761" s="352"/>
      <c r="V761" s="352"/>
    </row>
    <row r="762" spans="1:22" ht="26.25" hidden="1" customHeight="1" x14ac:dyDescent="0.2">
      <c r="A762" s="352"/>
      <c r="B762" s="352"/>
      <c r="C762" s="352"/>
      <c r="D762" s="352"/>
      <c r="E762" s="352"/>
      <c r="F762" s="352"/>
      <c r="G762" s="352"/>
      <c r="H762" s="352"/>
      <c r="I762" s="352"/>
      <c r="J762" s="352"/>
      <c r="K762" s="352"/>
      <c r="L762" s="352"/>
      <c r="M762" s="352"/>
      <c r="N762" s="352"/>
      <c r="O762" s="352"/>
      <c r="P762" s="352"/>
      <c r="Q762" s="352"/>
      <c r="R762" s="352"/>
      <c r="S762" s="352"/>
      <c r="T762" s="352"/>
      <c r="U762" s="352"/>
      <c r="V762" s="352"/>
    </row>
    <row r="763" spans="1:22" ht="26.25" hidden="1" customHeight="1" x14ac:dyDescent="0.2">
      <c r="A763" s="352"/>
      <c r="B763" s="352"/>
      <c r="C763" s="352"/>
      <c r="D763" s="352"/>
      <c r="E763" s="352"/>
      <c r="F763" s="352"/>
      <c r="G763" s="352"/>
      <c r="H763" s="352"/>
      <c r="I763" s="352"/>
      <c r="J763" s="352"/>
      <c r="K763" s="352"/>
      <c r="L763" s="352"/>
      <c r="M763" s="352"/>
      <c r="N763" s="352"/>
      <c r="O763" s="352"/>
      <c r="P763" s="352"/>
      <c r="Q763" s="352"/>
      <c r="R763" s="352"/>
      <c r="S763" s="352"/>
      <c r="T763" s="352"/>
      <c r="U763" s="352"/>
      <c r="V763" s="352"/>
    </row>
    <row r="764" spans="1:22" ht="26.25" hidden="1" customHeight="1" x14ac:dyDescent="0.2">
      <c r="A764" s="352"/>
      <c r="B764" s="352"/>
      <c r="C764" s="352"/>
      <c r="D764" s="352"/>
      <c r="E764" s="352"/>
      <c r="F764" s="352"/>
      <c r="G764" s="352"/>
      <c r="H764" s="352"/>
      <c r="I764" s="352"/>
      <c r="J764" s="352"/>
      <c r="K764" s="352"/>
      <c r="L764" s="352"/>
      <c r="M764" s="352"/>
      <c r="N764" s="352"/>
      <c r="O764" s="352"/>
      <c r="P764" s="352"/>
      <c r="Q764" s="352"/>
      <c r="R764" s="352"/>
      <c r="S764" s="352"/>
      <c r="T764" s="352"/>
      <c r="U764" s="352"/>
      <c r="V764" s="352"/>
    </row>
    <row r="765" spans="1:22" ht="26.25" hidden="1" customHeight="1" x14ac:dyDescent="0.2">
      <c r="A765" s="352"/>
      <c r="B765" s="352"/>
      <c r="C765" s="352"/>
      <c r="D765" s="352"/>
      <c r="E765" s="352"/>
      <c r="F765" s="352"/>
      <c r="G765" s="352"/>
      <c r="H765" s="352"/>
      <c r="I765" s="352"/>
      <c r="J765" s="352"/>
      <c r="K765" s="352"/>
      <c r="L765" s="352"/>
      <c r="M765" s="352"/>
      <c r="N765" s="352"/>
      <c r="O765" s="352"/>
      <c r="P765" s="352"/>
      <c r="Q765" s="352"/>
      <c r="R765" s="352"/>
      <c r="S765" s="352"/>
      <c r="T765" s="352"/>
      <c r="U765" s="352"/>
      <c r="V765" s="352"/>
    </row>
    <row r="766" spans="1:22" ht="26.25" hidden="1" customHeight="1" x14ac:dyDescent="0.2">
      <c r="A766" s="352"/>
      <c r="B766" s="352"/>
      <c r="C766" s="352"/>
      <c r="D766" s="352"/>
      <c r="E766" s="352"/>
      <c r="F766" s="352"/>
      <c r="G766" s="352"/>
      <c r="H766" s="352"/>
      <c r="I766" s="352"/>
      <c r="J766" s="352"/>
      <c r="K766" s="352"/>
      <c r="L766" s="352"/>
      <c r="M766" s="352"/>
      <c r="N766" s="352"/>
      <c r="O766" s="352"/>
      <c r="P766" s="352"/>
      <c r="Q766" s="352"/>
      <c r="R766" s="352"/>
      <c r="S766" s="352"/>
      <c r="T766" s="352"/>
      <c r="U766" s="352"/>
      <c r="V766" s="352"/>
    </row>
    <row r="767" spans="1:22" ht="26.25" hidden="1" customHeight="1" x14ac:dyDescent="0.2">
      <c r="A767" s="352"/>
      <c r="B767" s="352"/>
      <c r="C767" s="352"/>
      <c r="D767" s="352"/>
      <c r="E767" s="352"/>
      <c r="F767" s="352"/>
      <c r="G767" s="352"/>
      <c r="H767" s="352"/>
      <c r="I767" s="352"/>
      <c r="J767" s="352"/>
      <c r="K767" s="352"/>
      <c r="L767" s="352"/>
      <c r="M767" s="352"/>
      <c r="N767" s="352"/>
      <c r="O767" s="352"/>
      <c r="P767" s="352"/>
      <c r="Q767" s="352"/>
      <c r="R767" s="352"/>
      <c r="S767" s="352"/>
      <c r="T767" s="352"/>
      <c r="U767" s="352"/>
      <c r="V767" s="352"/>
    </row>
    <row r="768" spans="1:22" ht="26.25" hidden="1" customHeight="1" x14ac:dyDescent="0.2">
      <c r="A768" s="352"/>
      <c r="B768" s="352"/>
      <c r="C768" s="352"/>
      <c r="D768" s="352"/>
      <c r="E768" s="352"/>
      <c r="F768" s="352"/>
      <c r="G768" s="352"/>
      <c r="H768" s="352"/>
      <c r="I768" s="352"/>
      <c r="J768" s="352"/>
      <c r="K768" s="352"/>
      <c r="L768" s="352"/>
      <c r="M768" s="352"/>
      <c r="N768" s="352"/>
      <c r="O768" s="352"/>
      <c r="P768" s="352"/>
      <c r="Q768" s="352"/>
      <c r="R768" s="352"/>
      <c r="S768" s="352"/>
      <c r="T768" s="352"/>
      <c r="U768" s="352"/>
      <c r="V768" s="352"/>
    </row>
    <row r="769" spans="1:22" ht="26.25" hidden="1" customHeight="1" x14ac:dyDescent="0.2">
      <c r="A769" s="352"/>
      <c r="B769" s="352"/>
      <c r="C769" s="352"/>
      <c r="D769" s="352"/>
      <c r="E769" s="352"/>
      <c r="F769" s="352"/>
      <c r="G769" s="352"/>
      <c r="H769" s="352"/>
      <c r="I769" s="352"/>
      <c r="J769" s="352"/>
      <c r="K769" s="352"/>
      <c r="L769" s="352"/>
      <c r="M769" s="352"/>
      <c r="N769" s="352"/>
      <c r="O769" s="352"/>
      <c r="P769" s="352"/>
      <c r="Q769" s="352"/>
      <c r="R769" s="352"/>
      <c r="S769" s="352"/>
      <c r="T769" s="352"/>
      <c r="U769" s="352"/>
      <c r="V769" s="352"/>
    </row>
    <row r="770" spans="1:22" ht="26.25" hidden="1" customHeight="1" x14ac:dyDescent="0.2">
      <c r="A770" s="352"/>
      <c r="B770" s="352"/>
      <c r="C770" s="352"/>
      <c r="D770" s="352"/>
      <c r="E770" s="352"/>
      <c r="F770" s="352"/>
      <c r="G770" s="352"/>
      <c r="H770" s="352"/>
      <c r="I770" s="352"/>
      <c r="J770" s="352"/>
      <c r="K770" s="352"/>
      <c r="L770" s="352"/>
      <c r="M770" s="352"/>
      <c r="N770" s="352"/>
      <c r="O770" s="352"/>
      <c r="P770" s="352"/>
      <c r="Q770" s="352"/>
      <c r="R770" s="352"/>
      <c r="S770" s="352"/>
      <c r="T770" s="352"/>
      <c r="U770" s="352"/>
      <c r="V770" s="352"/>
    </row>
    <row r="771" spans="1:22" ht="26.25" hidden="1" customHeight="1" x14ac:dyDescent="0.2">
      <c r="A771" s="352"/>
      <c r="B771" s="352"/>
      <c r="C771" s="352"/>
      <c r="D771" s="352"/>
      <c r="E771" s="352"/>
      <c r="F771" s="352"/>
      <c r="G771" s="352"/>
      <c r="H771" s="352"/>
      <c r="I771" s="352"/>
      <c r="J771" s="352"/>
      <c r="K771" s="352"/>
      <c r="L771" s="352"/>
      <c r="M771" s="352"/>
      <c r="N771" s="352"/>
      <c r="O771" s="352"/>
      <c r="P771" s="352"/>
      <c r="Q771" s="352"/>
      <c r="R771" s="352"/>
      <c r="S771" s="352"/>
      <c r="T771" s="352"/>
      <c r="U771" s="352"/>
      <c r="V771" s="352"/>
    </row>
    <row r="772" spans="1:22" ht="26.25" hidden="1" customHeight="1" x14ac:dyDescent="0.2">
      <c r="A772" s="352"/>
      <c r="B772" s="352"/>
      <c r="C772" s="352"/>
      <c r="D772" s="352"/>
      <c r="E772" s="352"/>
      <c r="F772" s="352"/>
      <c r="G772" s="352"/>
      <c r="H772" s="352"/>
      <c r="I772" s="352"/>
      <c r="J772" s="352"/>
      <c r="K772" s="352"/>
      <c r="L772" s="352"/>
      <c r="M772" s="352"/>
      <c r="N772" s="352"/>
      <c r="O772" s="352"/>
      <c r="P772" s="352"/>
      <c r="Q772" s="352"/>
      <c r="R772" s="352"/>
      <c r="S772" s="352"/>
      <c r="T772" s="352"/>
      <c r="U772" s="352"/>
      <c r="V772" s="352"/>
    </row>
    <row r="773" spans="1:22" ht="26.25" hidden="1" customHeight="1" x14ac:dyDescent="0.2">
      <c r="A773" s="352"/>
      <c r="B773" s="352"/>
      <c r="C773" s="352"/>
      <c r="D773" s="352"/>
      <c r="E773" s="352"/>
      <c r="F773" s="352"/>
      <c r="G773" s="352"/>
      <c r="H773" s="352"/>
      <c r="I773" s="352"/>
      <c r="J773" s="352"/>
      <c r="K773" s="352"/>
      <c r="L773" s="352"/>
      <c r="M773" s="352"/>
      <c r="N773" s="352"/>
      <c r="O773" s="352"/>
      <c r="P773" s="352"/>
      <c r="Q773" s="352"/>
      <c r="R773" s="352"/>
      <c r="S773" s="352"/>
      <c r="T773" s="352"/>
      <c r="U773" s="352"/>
      <c r="V773" s="352"/>
    </row>
    <row r="774" spans="1:22" ht="26.25" hidden="1" customHeight="1" x14ac:dyDescent="0.2">
      <c r="A774" s="352"/>
      <c r="B774" s="352"/>
      <c r="C774" s="352"/>
      <c r="D774" s="352"/>
      <c r="E774" s="352"/>
      <c r="F774" s="352"/>
      <c r="G774" s="352"/>
      <c r="H774" s="352"/>
      <c r="I774" s="352"/>
      <c r="J774" s="352"/>
      <c r="K774" s="352"/>
      <c r="L774" s="352"/>
      <c r="M774" s="352"/>
      <c r="N774" s="352"/>
      <c r="O774" s="352"/>
      <c r="P774" s="352"/>
      <c r="Q774" s="352"/>
      <c r="R774" s="352"/>
      <c r="S774" s="352"/>
      <c r="T774" s="352"/>
      <c r="U774" s="352"/>
      <c r="V774" s="352"/>
    </row>
    <row r="775" spans="1:22" ht="26.25" hidden="1" customHeight="1" x14ac:dyDescent="0.2">
      <c r="A775" s="352"/>
      <c r="B775" s="352"/>
      <c r="C775" s="352"/>
      <c r="D775" s="352"/>
      <c r="E775" s="352"/>
      <c r="F775" s="352"/>
      <c r="G775" s="352"/>
      <c r="H775" s="352"/>
      <c r="I775" s="352"/>
      <c r="J775" s="352"/>
      <c r="K775" s="352"/>
      <c r="L775" s="352"/>
      <c r="M775" s="352"/>
      <c r="N775" s="352"/>
      <c r="O775" s="352"/>
      <c r="P775" s="352"/>
      <c r="Q775" s="352"/>
      <c r="R775" s="352"/>
      <c r="S775" s="352"/>
      <c r="T775" s="352"/>
      <c r="U775" s="352"/>
      <c r="V775" s="352"/>
    </row>
    <row r="776" spans="1:22" ht="26.25" hidden="1" customHeight="1" x14ac:dyDescent="0.2">
      <c r="A776" s="352"/>
      <c r="B776" s="352"/>
      <c r="C776" s="352"/>
      <c r="D776" s="352"/>
      <c r="E776" s="352"/>
      <c r="F776" s="352"/>
      <c r="G776" s="352"/>
      <c r="H776" s="352"/>
      <c r="I776" s="352"/>
      <c r="J776" s="352"/>
      <c r="K776" s="352"/>
      <c r="L776" s="352"/>
      <c r="M776" s="352"/>
      <c r="N776" s="352"/>
      <c r="O776" s="352"/>
      <c r="P776" s="352"/>
      <c r="Q776" s="352"/>
      <c r="R776" s="352"/>
      <c r="S776" s="352"/>
      <c r="T776" s="352"/>
      <c r="U776" s="352"/>
      <c r="V776" s="352"/>
    </row>
    <row r="777" spans="1:22" ht="26.25" hidden="1" customHeight="1" x14ac:dyDescent="0.2">
      <c r="A777" s="352"/>
      <c r="B777" s="352"/>
      <c r="C777" s="352"/>
      <c r="D777" s="352"/>
      <c r="E777" s="352"/>
      <c r="F777" s="352"/>
      <c r="G777" s="352"/>
      <c r="H777" s="352"/>
      <c r="I777" s="352"/>
      <c r="J777" s="352"/>
      <c r="K777" s="352"/>
      <c r="L777" s="352"/>
      <c r="M777" s="352"/>
      <c r="N777" s="352"/>
      <c r="O777" s="352"/>
      <c r="P777" s="352"/>
      <c r="Q777" s="352"/>
      <c r="R777" s="352"/>
      <c r="S777" s="352"/>
      <c r="T777" s="352"/>
      <c r="U777" s="352"/>
      <c r="V777" s="352"/>
    </row>
    <row r="778" spans="1:22" ht="26.25" hidden="1" customHeight="1" x14ac:dyDescent="0.2">
      <c r="A778" s="352"/>
      <c r="B778" s="352"/>
      <c r="C778" s="352"/>
      <c r="D778" s="352"/>
      <c r="E778" s="352"/>
      <c r="F778" s="352"/>
      <c r="G778" s="352"/>
      <c r="H778" s="352"/>
      <c r="I778" s="352"/>
      <c r="J778" s="352"/>
      <c r="K778" s="352"/>
      <c r="L778" s="352"/>
      <c r="M778" s="352"/>
      <c r="N778" s="352"/>
      <c r="O778" s="352"/>
      <c r="P778" s="352"/>
      <c r="Q778" s="352"/>
      <c r="R778" s="352"/>
      <c r="S778" s="352"/>
      <c r="T778" s="352"/>
      <c r="U778" s="352"/>
      <c r="V778" s="352"/>
    </row>
    <row r="779" spans="1:22" ht="26.25" hidden="1" customHeight="1" x14ac:dyDescent="0.2">
      <c r="A779" s="352"/>
      <c r="B779" s="352"/>
      <c r="C779" s="352"/>
      <c r="D779" s="352"/>
      <c r="E779" s="352"/>
      <c r="F779" s="352"/>
      <c r="G779" s="352"/>
      <c r="H779" s="352"/>
      <c r="I779" s="352"/>
      <c r="J779" s="352"/>
      <c r="K779" s="352"/>
      <c r="L779" s="352"/>
      <c r="M779" s="352"/>
      <c r="N779" s="352"/>
      <c r="O779" s="352"/>
      <c r="P779" s="352"/>
      <c r="Q779" s="352"/>
      <c r="R779" s="352"/>
      <c r="S779" s="352"/>
      <c r="T779" s="352"/>
      <c r="U779" s="352"/>
      <c r="V779" s="352"/>
    </row>
    <row r="780" spans="1:22" ht="26.25" hidden="1" customHeight="1" x14ac:dyDescent="0.2">
      <c r="A780" s="352"/>
      <c r="B780" s="352"/>
      <c r="C780" s="352"/>
      <c r="D780" s="352"/>
      <c r="E780" s="352"/>
      <c r="F780" s="352"/>
      <c r="G780" s="352"/>
      <c r="H780" s="352"/>
      <c r="I780" s="352"/>
      <c r="J780" s="352"/>
      <c r="K780" s="352"/>
      <c r="L780" s="352"/>
      <c r="M780" s="352"/>
      <c r="N780" s="352"/>
      <c r="O780" s="352"/>
      <c r="P780" s="352"/>
      <c r="Q780" s="352"/>
      <c r="R780" s="352"/>
      <c r="S780" s="352"/>
      <c r="T780" s="352"/>
      <c r="U780" s="352"/>
      <c r="V780" s="352"/>
    </row>
    <row r="781" spans="1:22" ht="26.25" hidden="1" customHeight="1" x14ac:dyDescent="0.2">
      <c r="A781" s="352"/>
      <c r="B781" s="352"/>
      <c r="C781" s="352"/>
      <c r="D781" s="352"/>
      <c r="E781" s="352"/>
      <c r="F781" s="352"/>
      <c r="G781" s="352"/>
      <c r="H781" s="352"/>
      <c r="I781" s="352"/>
      <c r="J781" s="352"/>
      <c r="K781" s="352"/>
      <c r="L781" s="352"/>
      <c r="M781" s="352"/>
      <c r="N781" s="352"/>
      <c r="O781" s="352"/>
      <c r="P781" s="352"/>
      <c r="Q781" s="352"/>
      <c r="R781" s="352"/>
      <c r="S781" s="352"/>
      <c r="T781" s="352"/>
      <c r="U781" s="352"/>
      <c r="V781" s="352"/>
    </row>
    <row r="782" spans="1:22" ht="26.25" hidden="1" customHeight="1" x14ac:dyDescent="0.2">
      <c r="A782" s="352"/>
      <c r="B782" s="352"/>
      <c r="C782" s="352"/>
      <c r="D782" s="352"/>
      <c r="E782" s="352"/>
      <c r="F782" s="352"/>
      <c r="G782" s="352"/>
      <c r="H782" s="352"/>
      <c r="I782" s="352"/>
      <c r="J782" s="352"/>
      <c r="K782" s="352"/>
      <c r="L782" s="352"/>
      <c r="M782" s="352"/>
      <c r="N782" s="352"/>
      <c r="O782" s="352"/>
      <c r="P782" s="352"/>
      <c r="Q782" s="352"/>
      <c r="R782" s="352"/>
      <c r="S782" s="352"/>
      <c r="T782" s="352"/>
      <c r="U782" s="352"/>
      <c r="V782" s="352"/>
    </row>
    <row r="783" spans="1:22" ht="26.25" hidden="1" customHeight="1" x14ac:dyDescent="0.2">
      <c r="A783" s="352"/>
      <c r="B783" s="352"/>
      <c r="C783" s="352"/>
      <c r="D783" s="352"/>
      <c r="E783" s="352"/>
      <c r="F783" s="352"/>
      <c r="G783" s="352"/>
      <c r="H783" s="352"/>
      <c r="I783" s="352"/>
      <c r="J783" s="352"/>
      <c r="K783" s="352"/>
      <c r="L783" s="352"/>
      <c r="M783" s="352"/>
      <c r="N783" s="352"/>
      <c r="O783" s="352"/>
      <c r="P783" s="352"/>
      <c r="Q783" s="352"/>
      <c r="R783" s="352"/>
      <c r="S783" s="352"/>
      <c r="T783" s="352"/>
      <c r="U783" s="352"/>
      <c r="V783" s="352"/>
    </row>
    <row r="784" spans="1:22" ht="26.25" hidden="1" customHeight="1" x14ac:dyDescent="0.2">
      <c r="A784" s="352"/>
      <c r="B784" s="352"/>
      <c r="C784" s="352"/>
      <c r="D784" s="352"/>
      <c r="E784" s="352"/>
      <c r="F784" s="352"/>
      <c r="G784" s="352"/>
      <c r="H784" s="352"/>
      <c r="I784" s="352"/>
      <c r="J784" s="352"/>
      <c r="K784" s="352"/>
      <c r="L784" s="352"/>
      <c r="M784" s="352"/>
      <c r="N784" s="352"/>
      <c r="O784" s="352"/>
      <c r="P784" s="352"/>
      <c r="Q784" s="352"/>
      <c r="R784" s="352"/>
      <c r="S784" s="352"/>
      <c r="T784" s="352"/>
      <c r="U784" s="352"/>
      <c r="V784" s="352"/>
    </row>
    <row r="785" spans="1:22" ht="26.25" hidden="1" customHeight="1" x14ac:dyDescent="0.2">
      <c r="A785" s="352"/>
      <c r="B785" s="352"/>
      <c r="C785" s="352"/>
      <c r="D785" s="352"/>
      <c r="E785" s="352"/>
      <c r="F785" s="352"/>
      <c r="G785" s="352"/>
      <c r="H785" s="352"/>
      <c r="I785" s="352"/>
      <c r="J785" s="352"/>
      <c r="K785" s="352"/>
      <c r="L785" s="352"/>
      <c r="M785" s="352"/>
      <c r="N785" s="352"/>
      <c r="O785" s="352"/>
      <c r="P785" s="352"/>
      <c r="Q785" s="352"/>
      <c r="R785" s="352"/>
      <c r="S785" s="352"/>
      <c r="T785" s="352"/>
      <c r="U785" s="352"/>
      <c r="V785" s="352"/>
    </row>
    <row r="786" spans="1:22" ht="26.25" hidden="1" customHeight="1" x14ac:dyDescent="0.2">
      <c r="A786" s="352"/>
      <c r="B786" s="352"/>
      <c r="C786" s="352"/>
      <c r="D786" s="352"/>
      <c r="E786" s="352"/>
      <c r="F786" s="352"/>
      <c r="G786" s="352"/>
      <c r="H786" s="352"/>
      <c r="I786" s="352"/>
      <c r="J786" s="352"/>
      <c r="K786" s="352"/>
      <c r="L786" s="352"/>
      <c r="M786" s="352"/>
      <c r="N786" s="352"/>
      <c r="O786" s="352"/>
      <c r="P786" s="352"/>
      <c r="Q786" s="352"/>
      <c r="R786" s="352"/>
      <c r="S786" s="352"/>
      <c r="T786" s="352"/>
      <c r="U786" s="352"/>
      <c r="V786" s="352"/>
    </row>
    <row r="787" spans="1:22" ht="26.25" hidden="1" customHeight="1" x14ac:dyDescent="0.2">
      <c r="A787" s="352"/>
      <c r="B787" s="352"/>
      <c r="C787" s="352"/>
      <c r="D787" s="352"/>
      <c r="E787" s="352"/>
      <c r="F787" s="352"/>
      <c r="G787" s="352"/>
      <c r="H787" s="352"/>
      <c r="I787" s="352"/>
      <c r="J787" s="352"/>
      <c r="K787" s="352"/>
      <c r="L787" s="352"/>
      <c r="M787" s="352"/>
      <c r="N787" s="352"/>
      <c r="O787" s="352"/>
      <c r="P787" s="352"/>
      <c r="Q787" s="352"/>
      <c r="R787" s="352"/>
      <c r="S787" s="352"/>
      <c r="T787" s="352"/>
      <c r="U787" s="352"/>
      <c r="V787" s="352"/>
    </row>
    <row r="788" spans="1:22" ht="26.25" hidden="1" customHeight="1" x14ac:dyDescent="0.2">
      <c r="A788" s="352"/>
      <c r="B788" s="352"/>
      <c r="C788" s="352"/>
      <c r="D788" s="352"/>
      <c r="E788" s="352"/>
      <c r="F788" s="352"/>
      <c r="G788" s="352"/>
      <c r="H788" s="352"/>
      <c r="I788" s="352"/>
      <c r="J788" s="352"/>
      <c r="K788" s="352"/>
      <c r="L788" s="352"/>
      <c r="M788" s="352"/>
      <c r="N788" s="352"/>
      <c r="O788" s="352"/>
      <c r="P788" s="352"/>
      <c r="Q788" s="352"/>
      <c r="R788" s="352"/>
      <c r="S788" s="352"/>
      <c r="T788" s="352"/>
      <c r="U788" s="352"/>
      <c r="V788" s="352"/>
    </row>
    <row r="789" spans="1:22" ht="26.25" hidden="1" customHeight="1" x14ac:dyDescent="0.2">
      <c r="A789" s="352"/>
      <c r="B789" s="352"/>
      <c r="C789" s="352"/>
      <c r="D789" s="352"/>
      <c r="E789" s="352"/>
      <c r="F789" s="352"/>
      <c r="G789" s="352"/>
      <c r="H789" s="352"/>
      <c r="I789" s="352"/>
      <c r="J789" s="352"/>
      <c r="K789" s="352"/>
      <c r="L789" s="352"/>
      <c r="M789" s="352"/>
      <c r="N789" s="352"/>
      <c r="O789" s="352"/>
      <c r="P789" s="352"/>
      <c r="Q789" s="352"/>
      <c r="R789" s="352"/>
      <c r="S789" s="352"/>
      <c r="T789" s="352"/>
      <c r="U789" s="352"/>
      <c r="V789" s="352"/>
    </row>
    <row r="790" spans="1:22" ht="26.25" hidden="1" customHeight="1" x14ac:dyDescent="0.2">
      <c r="A790" s="352"/>
      <c r="B790" s="352"/>
      <c r="C790" s="352"/>
      <c r="D790" s="352"/>
      <c r="E790" s="352"/>
      <c r="F790" s="352"/>
      <c r="G790" s="352"/>
      <c r="H790" s="352"/>
      <c r="I790" s="352"/>
      <c r="J790" s="352"/>
      <c r="K790" s="352"/>
      <c r="L790" s="352"/>
      <c r="M790" s="352"/>
      <c r="N790" s="352"/>
      <c r="O790" s="352"/>
      <c r="P790" s="352"/>
      <c r="Q790" s="352"/>
      <c r="R790" s="352"/>
      <c r="S790" s="352"/>
      <c r="T790" s="352"/>
      <c r="U790" s="352"/>
      <c r="V790" s="352"/>
    </row>
    <row r="791" spans="1:22" ht="26.25" hidden="1" customHeight="1" x14ac:dyDescent="0.2">
      <c r="A791" s="352"/>
      <c r="B791" s="352"/>
      <c r="C791" s="352"/>
      <c r="D791" s="352"/>
      <c r="E791" s="352"/>
      <c r="F791" s="352"/>
      <c r="G791" s="352"/>
      <c r="H791" s="352"/>
      <c r="I791" s="352"/>
      <c r="J791" s="352"/>
      <c r="K791" s="352"/>
      <c r="L791" s="352"/>
      <c r="M791" s="352"/>
      <c r="N791" s="352"/>
      <c r="O791" s="352"/>
      <c r="P791" s="352"/>
      <c r="Q791" s="352"/>
      <c r="R791" s="352"/>
      <c r="S791" s="352"/>
      <c r="T791" s="352"/>
      <c r="U791" s="352"/>
      <c r="V791" s="352"/>
    </row>
    <row r="792" spans="1:22" ht="26.25" hidden="1" customHeight="1" x14ac:dyDescent="0.2">
      <c r="A792" s="352"/>
      <c r="B792" s="352"/>
      <c r="C792" s="352"/>
      <c r="D792" s="352"/>
      <c r="E792" s="352"/>
      <c r="F792" s="352"/>
      <c r="G792" s="352"/>
      <c r="H792" s="352"/>
      <c r="I792" s="352"/>
      <c r="J792" s="352"/>
      <c r="K792" s="352"/>
      <c r="L792" s="352"/>
      <c r="M792" s="352"/>
      <c r="N792" s="352"/>
      <c r="O792" s="352"/>
      <c r="P792" s="352"/>
      <c r="Q792" s="352"/>
      <c r="R792" s="352"/>
      <c r="S792" s="352"/>
      <c r="T792" s="352"/>
      <c r="U792" s="352"/>
      <c r="V792" s="352"/>
    </row>
    <row r="793" spans="1:22" ht="26.25" hidden="1" customHeight="1" x14ac:dyDescent="0.2">
      <c r="A793" s="352"/>
      <c r="B793" s="352"/>
      <c r="C793" s="352"/>
      <c r="D793" s="352"/>
      <c r="E793" s="352"/>
      <c r="F793" s="352"/>
      <c r="G793" s="352"/>
      <c r="H793" s="352"/>
      <c r="I793" s="352"/>
      <c r="J793" s="352"/>
      <c r="K793" s="352"/>
      <c r="L793" s="352"/>
      <c r="M793" s="352"/>
      <c r="N793" s="352"/>
      <c r="O793" s="352"/>
      <c r="P793" s="352"/>
      <c r="Q793" s="352"/>
      <c r="R793" s="352"/>
      <c r="S793" s="352"/>
      <c r="T793" s="352"/>
      <c r="U793" s="352"/>
      <c r="V793" s="352"/>
    </row>
    <row r="794" spans="1:22" ht="26.25" hidden="1" customHeight="1" x14ac:dyDescent="0.2">
      <c r="A794" s="352"/>
      <c r="B794" s="352"/>
      <c r="C794" s="352"/>
      <c r="D794" s="352"/>
      <c r="E794" s="352"/>
      <c r="F794" s="352"/>
      <c r="G794" s="352"/>
      <c r="H794" s="352"/>
      <c r="I794" s="352"/>
      <c r="J794" s="352"/>
      <c r="K794" s="352"/>
      <c r="L794" s="352"/>
      <c r="M794" s="352"/>
      <c r="N794" s="352"/>
      <c r="O794" s="352"/>
      <c r="P794" s="352"/>
      <c r="Q794" s="352"/>
      <c r="R794" s="352"/>
      <c r="S794" s="352"/>
      <c r="T794" s="352"/>
      <c r="U794" s="352"/>
      <c r="V794" s="352"/>
    </row>
    <row r="795" spans="1:22" ht="26.25" hidden="1" customHeight="1" x14ac:dyDescent="0.2">
      <c r="A795" s="352"/>
      <c r="B795" s="352"/>
      <c r="C795" s="352"/>
      <c r="D795" s="352"/>
      <c r="E795" s="352"/>
      <c r="F795" s="352"/>
      <c r="G795" s="352"/>
      <c r="H795" s="352"/>
      <c r="I795" s="352"/>
      <c r="J795" s="352"/>
      <c r="K795" s="352"/>
      <c r="L795" s="352"/>
      <c r="M795" s="352"/>
      <c r="N795" s="352"/>
      <c r="O795" s="352"/>
      <c r="P795" s="352"/>
      <c r="Q795" s="352"/>
      <c r="R795" s="352"/>
      <c r="S795" s="352"/>
      <c r="T795" s="352"/>
      <c r="U795" s="352"/>
      <c r="V795" s="352"/>
    </row>
    <row r="796" spans="1:22" ht="26.25" hidden="1" customHeight="1" x14ac:dyDescent="0.2">
      <c r="A796" s="352"/>
      <c r="B796" s="352"/>
      <c r="C796" s="352"/>
      <c r="D796" s="352"/>
      <c r="E796" s="352"/>
      <c r="F796" s="352"/>
      <c r="G796" s="352"/>
      <c r="H796" s="352"/>
      <c r="I796" s="352"/>
      <c r="J796" s="352"/>
      <c r="K796" s="352"/>
      <c r="L796" s="352"/>
      <c r="M796" s="352"/>
      <c r="N796" s="352"/>
      <c r="O796" s="352"/>
      <c r="P796" s="352"/>
      <c r="Q796" s="352"/>
      <c r="R796" s="352"/>
      <c r="S796" s="352"/>
      <c r="T796" s="352"/>
      <c r="U796" s="352"/>
      <c r="V796" s="352"/>
    </row>
    <row r="797" spans="1:22" ht="26.25" hidden="1" customHeight="1" x14ac:dyDescent="0.2">
      <c r="A797" s="352"/>
      <c r="B797" s="352"/>
      <c r="C797" s="352"/>
      <c r="D797" s="352"/>
      <c r="E797" s="352"/>
      <c r="F797" s="352"/>
      <c r="G797" s="352"/>
      <c r="H797" s="352"/>
      <c r="I797" s="352"/>
      <c r="J797" s="352"/>
      <c r="K797" s="352"/>
      <c r="L797" s="352"/>
      <c r="M797" s="352"/>
      <c r="N797" s="352"/>
      <c r="O797" s="352"/>
      <c r="P797" s="352"/>
      <c r="Q797" s="352"/>
      <c r="R797" s="352"/>
      <c r="S797" s="352"/>
      <c r="T797" s="352"/>
      <c r="U797" s="352"/>
      <c r="V797" s="352"/>
    </row>
    <row r="798" spans="1:22" ht="26.25" hidden="1" customHeight="1" x14ac:dyDescent="0.2">
      <c r="A798" s="352"/>
      <c r="B798" s="352"/>
      <c r="C798" s="352"/>
      <c r="D798" s="352"/>
      <c r="E798" s="352"/>
      <c r="F798" s="352"/>
      <c r="G798" s="352"/>
      <c r="H798" s="352"/>
      <c r="I798" s="352"/>
      <c r="J798" s="352"/>
      <c r="K798" s="352"/>
      <c r="L798" s="352"/>
      <c r="M798" s="352"/>
      <c r="N798" s="352"/>
      <c r="O798" s="352"/>
      <c r="P798" s="352"/>
      <c r="Q798" s="352"/>
      <c r="R798" s="352"/>
      <c r="S798" s="352"/>
      <c r="T798" s="352"/>
      <c r="U798" s="352"/>
      <c r="V798" s="352"/>
    </row>
    <row r="799" spans="1:22" ht="26.25" hidden="1" customHeight="1" x14ac:dyDescent="0.2">
      <c r="A799" s="352"/>
      <c r="B799" s="352"/>
      <c r="C799" s="352"/>
      <c r="D799" s="352"/>
      <c r="E799" s="352"/>
      <c r="F799" s="352"/>
      <c r="G799" s="352"/>
      <c r="H799" s="352"/>
      <c r="I799" s="352"/>
      <c r="J799" s="352"/>
      <c r="K799" s="352"/>
      <c r="L799" s="352"/>
      <c r="M799" s="352"/>
      <c r="N799" s="352"/>
      <c r="O799" s="352"/>
      <c r="P799" s="352"/>
      <c r="Q799" s="352"/>
      <c r="R799" s="352"/>
      <c r="S799" s="352"/>
      <c r="T799" s="352"/>
      <c r="U799" s="352"/>
      <c r="V799" s="352"/>
    </row>
    <row r="800" spans="1:22" ht="26.25" hidden="1" customHeight="1" x14ac:dyDescent="0.2">
      <c r="A800" s="352"/>
      <c r="B800" s="352"/>
      <c r="C800" s="352"/>
      <c r="D800" s="352"/>
      <c r="E800" s="352"/>
      <c r="F800" s="352"/>
      <c r="G800" s="352"/>
      <c r="H800" s="352"/>
      <c r="I800" s="352"/>
      <c r="J800" s="352"/>
      <c r="K800" s="352"/>
      <c r="L800" s="352"/>
      <c r="M800" s="352"/>
      <c r="N800" s="352"/>
      <c r="O800" s="352"/>
      <c r="P800" s="352"/>
      <c r="Q800" s="352"/>
      <c r="R800" s="352"/>
      <c r="S800" s="352"/>
      <c r="T800" s="352"/>
      <c r="U800" s="352"/>
      <c r="V800" s="352"/>
    </row>
    <row r="801" spans="1:22" ht="26.25" hidden="1" customHeight="1" x14ac:dyDescent="0.2">
      <c r="A801" s="352"/>
      <c r="B801" s="352"/>
      <c r="C801" s="352"/>
      <c r="D801" s="352"/>
      <c r="E801" s="352"/>
      <c r="F801" s="352"/>
      <c r="G801" s="352"/>
      <c r="H801" s="352"/>
      <c r="I801" s="352"/>
      <c r="J801" s="352"/>
      <c r="K801" s="352"/>
      <c r="L801" s="352"/>
      <c r="M801" s="352"/>
      <c r="N801" s="352"/>
      <c r="O801" s="352"/>
      <c r="P801" s="352"/>
      <c r="Q801" s="352"/>
      <c r="R801" s="352"/>
      <c r="S801" s="352"/>
      <c r="T801" s="352"/>
      <c r="U801" s="352"/>
      <c r="V801" s="352"/>
    </row>
    <row r="802" spans="1:22" ht="26.25" hidden="1" customHeight="1" x14ac:dyDescent="0.2">
      <c r="A802" s="352"/>
      <c r="B802" s="352"/>
      <c r="C802" s="352"/>
      <c r="D802" s="352"/>
      <c r="E802" s="352"/>
      <c r="F802" s="352"/>
      <c r="G802" s="352"/>
      <c r="H802" s="352"/>
      <c r="I802" s="352"/>
      <c r="J802" s="352"/>
      <c r="K802" s="352"/>
      <c r="L802" s="352"/>
      <c r="M802" s="352"/>
      <c r="N802" s="352"/>
      <c r="O802" s="352"/>
      <c r="P802" s="352"/>
      <c r="Q802" s="352"/>
      <c r="R802" s="352"/>
      <c r="S802" s="352"/>
      <c r="T802" s="352"/>
      <c r="U802" s="352"/>
      <c r="V802" s="352"/>
    </row>
    <row r="803" spans="1:22" ht="26.25" hidden="1" customHeight="1" x14ac:dyDescent="0.2">
      <c r="A803" s="352"/>
      <c r="B803" s="352"/>
      <c r="C803" s="352"/>
      <c r="D803" s="352"/>
      <c r="E803" s="352"/>
      <c r="F803" s="352"/>
      <c r="G803" s="352"/>
      <c r="H803" s="352"/>
      <c r="I803" s="352"/>
      <c r="J803" s="352"/>
      <c r="K803" s="352"/>
      <c r="L803" s="352"/>
      <c r="M803" s="352"/>
      <c r="N803" s="352"/>
      <c r="O803" s="352"/>
      <c r="P803" s="352"/>
      <c r="Q803" s="352"/>
      <c r="R803" s="352"/>
      <c r="S803" s="352"/>
      <c r="T803" s="352"/>
      <c r="U803" s="352"/>
      <c r="V803" s="352"/>
    </row>
    <row r="804" spans="1:22" ht="26.25" hidden="1" customHeight="1" x14ac:dyDescent="0.2">
      <c r="A804" s="352"/>
      <c r="B804" s="352"/>
      <c r="C804" s="352"/>
      <c r="D804" s="352"/>
      <c r="E804" s="352"/>
      <c r="F804" s="352"/>
      <c r="G804" s="352"/>
      <c r="H804" s="352"/>
      <c r="I804" s="352"/>
      <c r="J804" s="352"/>
      <c r="K804" s="352"/>
      <c r="L804" s="352"/>
      <c r="M804" s="352"/>
      <c r="N804" s="352"/>
      <c r="O804" s="352"/>
      <c r="P804" s="352"/>
      <c r="Q804" s="352"/>
      <c r="R804" s="352"/>
      <c r="S804" s="352"/>
      <c r="T804" s="352"/>
      <c r="U804" s="352"/>
      <c r="V804" s="352"/>
    </row>
    <row r="805" spans="1:22" ht="26.25" hidden="1" customHeight="1" x14ac:dyDescent="0.2">
      <c r="A805" s="352"/>
      <c r="B805" s="352"/>
      <c r="C805" s="352"/>
      <c r="D805" s="352"/>
      <c r="E805" s="352"/>
      <c r="F805" s="352"/>
      <c r="G805" s="352"/>
      <c r="H805" s="352"/>
      <c r="I805" s="352"/>
      <c r="J805" s="352"/>
      <c r="K805" s="352"/>
      <c r="L805" s="352"/>
      <c r="M805" s="352"/>
      <c r="N805" s="352"/>
      <c r="O805" s="352"/>
      <c r="P805" s="352"/>
      <c r="Q805" s="352"/>
      <c r="R805" s="352"/>
      <c r="S805" s="352"/>
      <c r="T805" s="352"/>
      <c r="U805" s="352"/>
      <c r="V805" s="352"/>
    </row>
    <row r="806" spans="1:22" ht="26.25" hidden="1" customHeight="1" x14ac:dyDescent="0.2">
      <c r="A806" s="352"/>
      <c r="B806" s="352"/>
      <c r="C806" s="352"/>
      <c r="D806" s="352"/>
      <c r="E806" s="352"/>
      <c r="F806" s="352"/>
      <c r="G806" s="352"/>
      <c r="H806" s="352"/>
      <c r="I806" s="352"/>
      <c r="J806" s="352"/>
      <c r="K806" s="352"/>
      <c r="L806" s="352"/>
      <c r="M806" s="352"/>
      <c r="N806" s="352"/>
      <c r="O806" s="352"/>
      <c r="P806" s="352"/>
      <c r="Q806" s="352"/>
      <c r="R806" s="352"/>
      <c r="S806" s="352"/>
      <c r="T806" s="352"/>
      <c r="U806" s="352"/>
      <c r="V806" s="352"/>
    </row>
    <row r="807" spans="1:22" ht="26.25" hidden="1" customHeight="1" x14ac:dyDescent="0.2">
      <c r="A807" s="352"/>
      <c r="B807" s="352"/>
      <c r="C807" s="352"/>
      <c r="D807" s="352"/>
      <c r="E807" s="352"/>
      <c r="F807" s="352"/>
      <c r="G807" s="352"/>
      <c r="H807" s="352"/>
      <c r="I807" s="352"/>
      <c r="J807" s="352"/>
      <c r="K807" s="352"/>
      <c r="L807" s="352"/>
      <c r="M807" s="352"/>
      <c r="N807" s="352"/>
      <c r="O807" s="352"/>
      <c r="P807" s="352"/>
      <c r="Q807" s="352"/>
      <c r="R807" s="352"/>
      <c r="S807" s="352"/>
      <c r="T807" s="352"/>
      <c r="U807" s="352"/>
      <c r="V807" s="352"/>
    </row>
    <row r="808" spans="1:22" ht="26.25" hidden="1" customHeight="1" x14ac:dyDescent="0.2">
      <c r="A808" s="352"/>
      <c r="B808" s="352"/>
      <c r="C808" s="352"/>
      <c r="D808" s="352"/>
      <c r="E808" s="352"/>
      <c r="F808" s="352"/>
      <c r="G808" s="352"/>
      <c r="H808" s="352"/>
      <c r="I808" s="352"/>
      <c r="J808" s="352"/>
      <c r="K808" s="352"/>
      <c r="L808" s="352"/>
      <c r="M808" s="352"/>
      <c r="N808" s="352"/>
      <c r="O808" s="352"/>
      <c r="P808" s="352"/>
      <c r="Q808" s="352"/>
      <c r="R808" s="352"/>
      <c r="S808" s="352"/>
      <c r="T808" s="352"/>
      <c r="U808" s="352"/>
      <c r="V808" s="352"/>
    </row>
    <row r="809" spans="1:22" ht="26.25" hidden="1" customHeight="1" x14ac:dyDescent="0.2">
      <c r="A809" s="352"/>
      <c r="B809" s="352"/>
      <c r="C809" s="352"/>
      <c r="D809" s="352"/>
      <c r="E809" s="352"/>
      <c r="F809" s="352"/>
      <c r="G809" s="352"/>
      <c r="H809" s="352"/>
      <c r="I809" s="352"/>
      <c r="J809" s="352"/>
      <c r="K809" s="352"/>
      <c r="L809" s="352"/>
      <c r="M809" s="352"/>
      <c r="N809" s="352"/>
      <c r="O809" s="352"/>
      <c r="P809" s="352"/>
      <c r="Q809" s="352"/>
      <c r="R809" s="352"/>
      <c r="S809" s="352"/>
      <c r="T809" s="352"/>
      <c r="U809" s="352"/>
      <c r="V809" s="352"/>
    </row>
    <row r="810" spans="1:22" ht="26.25" hidden="1" customHeight="1" x14ac:dyDescent="0.2">
      <c r="A810" s="352"/>
      <c r="B810" s="352"/>
      <c r="C810" s="352"/>
      <c r="D810" s="352"/>
      <c r="E810" s="352"/>
      <c r="F810" s="352"/>
      <c r="G810" s="352"/>
      <c r="H810" s="352"/>
      <c r="I810" s="352"/>
      <c r="J810" s="352"/>
      <c r="K810" s="352"/>
      <c r="L810" s="352"/>
      <c r="M810" s="352"/>
      <c r="N810" s="352"/>
      <c r="O810" s="352"/>
      <c r="P810" s="352"/>
      <c r="Q810" s="352"/>
      <c r="R810" s="352"/>
      <c r="S810" s="352"/>
      <c r="T810" s="352"/>
      <c r="U810" s="352"/>
      <c r="V810" s="352"/>
    </row>
    <row r="811" spans="1:22" ht="26.25" hidden="1" customHeight="1" x14ac:dyDescent="0.2">
      <c r="A811" s="352"/>
      <c r="B811" s="352"/>
      <c r="C811" s="352"/>
      <c r="D811" s="352"/>
      <c r="E811" s="352"/>
      <c r="F811" s="352"/>
      <c r="G811" s="352"/>
      <c r="H811" s="352"/>
      <c r="I811" s="352"/>
      <c r="J811" s="352"/>
      <c r="K811" s="352"/>
      <c r="L811" s="352"/>
      <c r="M811" s="352"/>
      <c r="N811" s="352"/>
      <c r="O811" s="352"/>
      <c r="P811" s="352"/>
      <c r="Q811" s="352"/>
      <c r="R811" s="352"/>
      <c r="S811" s="352"/>
      <c r="T811" s="352"/>
      <c r="U811" s="352"/>
      <c r="V811" s="352"/>
    </row>
    <row r="812" spans="1:22" ht="26.25" hidden="1" customHeight="1" x14ac:dyDescent="0.2">
      <c r="A812" s="352"/>
      <c r="B812" s="352"/>
      <c r="C812" s="352"/>
      <c r="D812" s="352"/>
      <c r="E812" s="352"/>
      <c r="F812" s="352"/>
      <c r="G812" s="352"/>
      <c r="H812" s="352"/>
      <c r="I812" s="352"/>
      <c r="J812" s="352"/>
      <c r="K812" s="352"/>
      <c r="L812" s="352"/>
      <c r="M812" s="352"/>
      <c r="N812" s="352"/>
      <c r="O812" s="352"/>
      <c r="P812" s="352"/>
      <c r="Q812" s="352"/>
      <c r="R812" s="352"/>
      <c r="S812" s="352"/>
      <c r="T812" s="352"/>
      <c r="U812" s="352"/>
      <c r="V812" s="352"/>
    </row>
    <row r="813" spans="1:22" ht="26.25" hidden="1" customHeight="1" x14ac:dyDescent="0.2">
      <c r="A813" s="352"/>
      <c r="B813" s="352"/>
      <c r="C813" s="352"/>
      <c r="D813" s="352"/>
      <c r="E813" s="352"/>
      <c r="F813" s="352"/>
      <c r="G813" s="352"/>
      <c r="H813" s="352"/>
      <c r="I813" s="352"/>
      <c r="J813" s="352"/>
      <c r="K813" s="352"/>
      <c r="L813" s="352"/>
      <c r="M813" s="352"/>
      <c r="N813" s="352"/>
      <c r="O813" s="352"/>
      <c r="P813" s="352"/>
      <c r="Q813" s="352"/>
      <c r="R813" s="352"/>
      <c r="S813" s="352"/>
      <c r="T813" s="352"/>
      <c r="U813" s="352"/>
      <c r="V813" s="352"/>
    </row>
    <row r="814" spans="1:22" ht="26.25" hidden="1" customHeight="1" x14ac:dyDescent="0.2">
      <c r="A814" s="352"/>
      <c r="B814" s="352"/>
      <c r="C814" s="352"/>
      <c r="D814" s="352"/>
      <c r="E814" s="352"/>
      <c r="F814" s="352"/>
      <c r="G814" s="352"/>
      <c r="H814" s="352"/>
      <c r="I814" s="352"/>
      <c r="J814" s="352"/>
      <c r="K814" s="352"/>
      <c r="L814" s="352"/>
      <c r="M814" s="352"/>
      <c r="N814" s="352"/>
      <c r="O814" s="352"/>
      <c r="P814" s="352"/>
      <c r="Q814" s="352"/>
      <c r="R814" s="352"/>
      <c r="S814" s="352"/>
      <c r="T814" s="352"/>
      <c r="U814" s="352"/>
      <c r="V814" s="352"/>
    </row>
    <row r="815" spans="1:22" ht="26.25" hidden="1" customHeight="1" x14ac:dyDescent="0.2">
      <c r="A815" s="352"/>
      <c r="B815" s="352"/>
      <c r="C815" s="352"/>
      <c r="D815" s="352"/>
      <c r="E815" s="352"/>
      <c r="F815" s="352"/>
      <c r="G815" s="352"/>
      <c r="H815" s="352"/>
      <c r="I815" s="352"/>
      <c r="J815" s="352"/>
      <c r="K815" s="352"/>
      <c r="L815" s="352"/>
      <c r="M815" s="352"/>
      <c r="N815" s="352"/>
      <c r="O815" s="352"/>
      <c r="P815" s="352"/>
      <c r="Q815" s="352"/>
      <c r="R815" s="352"/>
      <c r="S815" s="352"/>
      <c r="T815" s="352"/>
      <c r="U815" s="352"/>
      <c r="V815" s="352"/>
    </row>
    <row r="816" spans="1:22" ht="26.25" hidden="1" customHeight="1" x14ac:dyDescent="0.2">
      <c r="A816" s="352"/>
      <c r="B816" s="352"/>
      <c r="C816" s="352"/>
      <c r="D816" s="352"/>
      <c r="E816" s="352"/>
      <c r="F816" s="352"/>
      <c r="G816" s="352"/>
      <c r="H816" s="352"/>
      <c r="I816" s="352"/>
      <c r="J816" s="352"/>
      <c r="K816" s="352"/>
      <c r="L816" s="352"/>
      <c r="M816" s="352"/>
      <c r="N816" s="352"/>
      <c r="O816" s="352"/>
      <c r="P816" s="352"/>
      <c r="Q816" s="352"/>
      <c r="R816" s="352"/>
      <c r="S816" s="352"/>
      <c r="T816" s="352"/>
      <c r="U816" s="352"/>
      <c r="V816" s="352"/>
    </row>
    <row r="817" spans="1:22" ht="26.25" hidden="1" customHeight="1" x14ac:dyDescent="0.2">
      <c r="A817" s="352"/>
      <c r="B817" s="352"/>
      <c r="C817" s="352"/>
      <c r="D817" s="352"/>
      <c r="E817" s="352"/>
      <c r="F817" s="352"/>
      <c r="G817" s="352"/>
      <c r="H817" s="352"/>
      <c r="I817" s="352"/>
      <c r="J817" s="352"/>
      <c r="K817" s="352"/>
      <c r="L817" s="352"/>
      <c r="M817" s="352"/>
      <c r="N817" s="352"/>
      <c r="O817" s="352"/>
      <c r="P817" s="352"/>
      <c r="Q817" s="352"/>
      <c r="R817" s="352"/>
      <c r="S817" s="352"/>
      <c r="T817" s="352"/>
      <c r="U817" s="352"/>
      <c r="V817" s="352"/>
    </row>
    <row r="818" spans="1:22" ht="26.25" hidden="1" customHeight="1" x14ac:dyDescent="0.2">
      <c r="A818" s="352"/>
      <c r="B818" s="352"/>
      <c r="C818" s="352"/>
      <c r="D818" s="352"/>
      <c r="E818" s="352"/>
      <c r="F818" s="352"/>
      <c r="G818" s="352"/>
      <c r="H818" s="352"/>
      <c r="I818" s="352"/>
      <c r="J818" s="352"/>
      <c r="K818" s="352"/>
      <c r="L818" s="352"/>
      <c r="M818" s="352"/>
      <c r="N818" s="352"/>
      <c r="O818" s="352"/>
      <c r="P818" s="352"/>
      <c r="Q818" s="352"/>
      <c r="R818" s="352"/>
      <c r="S818" s="352"/>
      <c r="T818" s="352"/>
      <c r="U818" s="352"/>
      <c r="V818" s="352"/>
    </row>
    <row r="819" spans="1:22" ht="26.25" hidden="1" customHeight="1" x14ac:dyDescent="0.2">
      <c r="A819" s="352"/>
      <c r="B819" s="352"/>
      <c r="C819" s="352"/>
      <c r="D819" s="352"/>
      <c r="E819" s="352"/>
      <c r="F819" s="352"/>
      <c r="G819" s="352"/>
      <c r="H819" s="352"/>
      <c r="I819" s="352"/>
      <c r="J819" s="352"/>
      <c r="K819" s="352"/>
      <c r="L819" s="352"/>
      <c r="M819" s="352"/>
      <c r="N819" s="352"/>
      <c r="O819" s="352"/>
      <c r="P819" s="352"/>
      <c r="Q819" s="352"/>
      <c r="R819" s="352"/>
      <c r="S819" s="352"/>
      <c r="T819" s="352"/>
      <c r="U819" s="352"/>
      <c r="V819" s="352"/>
    </row>
    <row r="820" spans="1:22" ht="26.25" hidden="1" customHeight="1" x14ac:dyDescent="0.2">
      <c r="A820" s="352"/>
      <c r="B820" s="352"/>
      <c r="C820" s="352"/>
      <c r="D820" s="352"/>
      <c r="E820" s="352"/>
      <c r="F820" s="352"/>
      <c r="G820" s="352"/>
      <c r="H820" s="352"/>
      <c r="I820" s="352"/>
      <c r="J820" s="352"/>
      <c r="K820" s="352"/>
      <c r="L820" s="352"/>
      <c r="M820" s="352"/>
      <c r="N820" s="352"/>
      <c r="O820" s="352"/>
      <c r="P820" s="352"/>
      <c r="Q820" s="352"/>
      <c r="R820" s="352"/>
      <c r="S820" s="352"/>
      <c r="T820" s="352"/>
      <c r="U820" s="352"/>
      <c r="V820" s="352"/>
    </row>
    <row r="821" spans="1:22" ht="26.25" hidden="1" customHeight="1" x14ac:dyDescent="0.2">
      <c r="A821" s="352"/>
      <c r="B821" s="352"/>
      <c r="C821" s="352"/>
      <c r="D821" s="352"/>
      <c r="E821" s="352"/>
      <c r="F821" s="352"/>
      <c r="G821" s="352"/>
      <c r="H821" s="352"/>
      <c r="I821" s="352"/>
      <c r="J821" s="352"/>
      <c r="K821" s="352"/>
      <c r="L821" s="352"/>
      <c r="M821" s="352"/>
      <c r="N821" s="352"/>
      <c r="O821" s="352"/>
      <c r="P821" s="352"/>
      <c r="Q821" s="352"/>
      <c r="R821" s="352"/>
      <c r="S821" s="352"/>
      <c r="T821" s="352"/>
      <c r="U821" s="352"/>
      <c r="V821" s="352"/>
    </row>
    <row r="822" spans="1:22" ht="26.25" hidden="1" customHeight="1" x14ac:dyDescent="0.2">
      <c r="A822" s="352"/>
      <c r="B822" s="352"/>
      <c r="C822" s="352"/>
      <c r="D822" s="352"/>
      <c r="E822" s="352"/>
      <c r="F822" s="352"/>
      <c r="G822" s="352"/>
      <c r="H822" s="352"/>
      <c r="I822" s="352"/>
      <c r="J822" s="352"/>
      <c r="K822" s="352"/>
      <c r="L822" s="352"/>
      <c r="M822" s="352"/>
      <c r="N822" s="352"/>
      <c r="O822" s="352"/>
      <c r="P822" s="352"/>
      <c r="Q822" s="352"/>
      <c r="R822" s="352"/>
      <c r="S822" s="352"/>
      <c r="T822" s="352"/>
      <c r="U822" s="352"/>
      <c r="V822" s="352"/>
    </row>
    <row r="823" spans="1:22" ht="26.25" hidden="1" customHeight="1" x14ac:dyDescent="0.2">
      <c r="A823" s="352"/>
      <c r="B823" s="352"/>
      <c r="C823" s="352"/>
      <c r="D823" s="352"/>
      <c r="E823" s="352"/>
      <c r="F823" s="352"/>
      <c r="G823" s="352"/>
      <c r="H823" s="352"/>
      <c r="I823" s="352"/>
      <c r="J823" s="352"/>
      <c r="K823" s="352"/>
      <c r="L823" s="352"/>
      <c r="M823" s="352"/>
      <c r="N823" s="352"/>
      <c r="O823" s="352"/>
      <c r="P823" s="352"/>
      <c r="Q823" s="352"/>
      <c r="R823" s="352"/>
      <c r="S823" s="352"/>
      <c r="T823" s="352"/>
      <c r="U823" s="352"/>
      <c r="V823" s="352"/>
    </row>
    <row r="824" spans="1:22" ht="26.25" hidden="1" customHeight="1" x14ac:dyDescent="0.2">
      <c r="A824" s="352"/>
      <c r="B824" s="352"/>
      <c r="C824" s="352"/>
      <c r="D824" s="352"/>
      <c r="E824" s="352"/>
      <c r="F824" s="352"/>
      <c r="G824" s="352"/>
      <c r="H824" s="352"/>
      <c r="I824" s="352"/>
      <c r="J824" s="352"/>
      <c r="K824" s="352"/>
      <c r="L824" s="352"/>
      <c r="M824" s="352"/>
      <c r="N824" s="352"/>
      <c r="O824" s="352"/>
      <c r="P824" s="352"/>
      <c r="Q824" s="352"/>
      <c r="R824" s="352"/>
      <c r="S824" s="352"/>
      <c r="T824" s="352"/>
      <c r="U824" s="352"/>
      <c r="V824" s="352"/>
    </row>
    <row r="825" spans="1:22" ht="26.25" hidden="1" customHeight="1" x14ac:dyDescent="0.2">
      <c r="A825" s="352"/>
      <c r="B825" s="352"/>
      <c r="C825" s="352"/>
      <c r="D825" s="352"/>
      <c r="E825" s="352"/>
      <c r="F825" s="352"/>
      <c r="G825" s="352"/>
      <c r="H825" s="352"/>
      <c r="I825" s="352"/>
      <c r="J825" s="352"/>
      <c r="K825" s="352"/>
      <c r="L825" s="352"/>
      <c r="M825" s="352"/>
      <c r="N825" s="352"/>
      <c r="O825" s="352"/>
      <c r="P825" s="352"/>
      <c r="Q825" s="352"/>
      <c r="R825" s="352"/>
      <c r="S825" s="352"/>
      <c r="T825" s="352"/>
      <c r="U825" s="352"/>
      <c r="V825" s="352"/>
    </row>
    <row r="826" spans="1:22" ht="26.25" hidden="1" customHeight="1" x14ac:dyDescent="0.2">
      <c r="A826" s="352"/>
      <c r="B826" s="352"/>
      <c r="C826" s="352"/>
      <c r="D826" s="352"/>
      <c r="E826" s="352"/>
      <c r="F826" s="352"/>
      <c r="G826" s="352"/>
      <c r="H826" s="352"/>
      <c r="I826" s="352"/>
      <c r="J826" s="352"/>
      <c r="K826" s="352"/>
      <c r="L826" s="352"/>
      <c r="M826" s="352"/>
      <c r="N826" s="352"/>
      <c r="O826" s="352"/>
      <c r="P826" s="352"/>
      <c r="Q826" s="352"/>
      <c r="R826" s="352"/>
      <c r="S826" s="352"/>
      <c r="T826" s="352"/>
      <c r="U826" s="352"/>
      <c r="V826" s="352"/>
    </row>
    <row r="827" spans="1:22" ht="26.25" hidden="1" customHeight="1" x14ac:dyDescent="0.2">
      <c r="A827" s="352"/>
      <c r="B827" s="352"/>
      <c r="C827" s="352"/>
      <c r="D827" s="352"/>
      <c r="E827" s="352"/>
      <c r="F827" s="352"/>
      <c r="G827" s="352"/>
      <c r="H827" s="352"/>
      <c r="I827" s="352"/>
      <c r="J827" s="352"/>
      <c r="K827" s="352"/>
      <c r="L827" s="352"/>
      <c r="M827" s="352"/>
      <c r="N827" s="352"/>
      <c r="O827" s="352"/>
      <c r="P827" s="352"/>
      <c r="Q827" s="352"/>
      <c r="R827" s="352"/>
      <c r="S827" s="352"/>
      <c r="T827" s="352"/>
      <c r="U827" s="352"/>
      <c r="V827" s="352"/>
    </row>
    <row r="828" spans="1:22" ht="26.25" hidden="1" customHeight="1" x14ac:dyDescent="0.2">
      <c r="A828" s="352"/>
      <c r="B828" s="352"/>
      <c r="C828" s="352"/>
      <c r="D828" s="352"/>
      <c r="E828" s="352"/>
      <c r="F828" s="352"/>
      <c r="G828" s="352"/>
      <c r="H828" s="352"/>
      <c r="I828" s="352"/>
      <c r="J828" s="352"/>
      <c r="K828" s="352"/>
      <c r="L828" s="352"/>
      <c r="M828" s="352"/>
      <c r="N828" s="352"/>
      <c r="O828" s="352"/>
      <c r="P828" s="352"/>
      <c r="Q828" s="352"/>
      <c r="R828" s="352"/>
      <c r="S828" s="352"/>
      <c r="T828" s="352"/>
      <c r="U828" s="352"/>
      <c r="V828" s="352"/>
    </row>
    <row r="829" spans="1:22" ht="26.25" hidden="1" customHeight="1" x14ac:dyDescent="0.2">
      <c r="A829" s="352"/>
      <c r="B829" s="352"/>
      <c r="C829" s="352"/>
      <c r="D829" s="352"/>
      <c r="E829" s="352"/>
      <c r="F829" s="352"/>
      <c r="G829" s="352"/>
      <c r="H829" s="352"/>
      <c r="I829" s="352"/>
      <c r="J829" s="352"/>
      <c r="K829" s="352"/>
      <c r="L829" s="352"/>
      <c r="M829" s="352"/>
      <c r="N829" s="352"/>
      <c r="O829" s="352"/>
      <c r="P829" s="352"/>
      <c r="Q829" s="352"/>
      <c r="R829" s="352"/>
      <c r="S829" s="352"/>
      <c r="T829" s="352"/>
      <c r="U829" s="352"/>
      <c r="V829" s="352"/>
    </row>
    <row r="830" spans="1:22" ht="26.25" hidden="1" customHeight="1" x14ac:dyDescent="0.2">
      <c r="A830" s="352"/>
      <c r="B830" s="352"/>
      <c r="C830" s="352"/>
      <c r="D830" s="352"/>
      <c r="E830" s="352"/>
      <c r="F830" s="352"/>
      <c r="G830" s="352"/>
      <c r="H830" s="352"/>
      <c r="I830" s="352"/>
      <c r="J830" s="352"/>
      <c r="K830" s="352"/>
      <c r="L830" s="352"/>
      <c r="M830" s="352"/>
      <c r="N830" s="352"/>
      <c r="O830" s="352"/>
      <c r="P830" s="352"/>
      <c r="Q830" s="352"/>
      <c r="R830" s="352"/>
      <c r="S830" s="352"/>
      <c r="T830" s="352"/>
      <c r="U830" s="352"/>
      <c r="V830" s="352"/>
    </row>
    <row r="831" spans="1:22" ht="26.25" hidden="1" customHeight="1" x14ac:dyDescent="0.2">
      <c r="A831" s="352"/>
      <c r="B831" s="352"/>
      <c r="C831" s="352"/>
      <c r="D831" s="352"/>
      <c r="E831" s="352"/>
      <c r="F831" s="352"/>
      <c r="G831" s="352"/>
      <c r="H831" s="352"/>
      <c r="I831" s="352"/>
      <c r="J831" s="352"/>
      <c r="K831" s="352"/>
      <c r="L831" s="352"/>
      <c r="M831" s="352"/>
      <c r="N831" s="352"/>
      <c r="O831" s="352"/>
      <c r="P831" s="352"/>
      <c r="Q831" s="352"/>
      <c r="R831" s="352"/>
      <c r="S831" s="352"/>
      <c r="T831" s="352"/>
      <c r="U831" s="352"/>
      <c r="V831" s="352"/>
    </row>
    <row r="832" spans="1:22" ht="26.25" hidden="1" customHeight="1" x14ac:dyDescent="0.2">
      <c r="A832" s="352"/>
      <c r="B832" s="352"/>
      <c r="C832" s="352"/>
      <c r="D832" s="352"/>
      <c r="E832" s="352"/>
      <c r="F832" s="352"/>
      <c r="G832" s="352"/>
      <c r="H832" s="352"/>
      <c r="I832" s="352"/>
      <c r="J832" s="352"/>
      <c r="K832" s="352"/>
      <c r="L832" s="352"/>
      <c r="M832" s="352"/>
      <c r="N832" s="352"/>
      <c r="O832" s="352"/>
      <c r="P832" s="352"/>
      <c r="Q832" s="352"/>
      <c r="R832" s="352"/>
      <c r="S832" s="352"/>
      <c r="T832" s="352"/>
      <c r="U832" s="352"/>
      <c r="V832" s="352"/>
    </row>
    <row r="833" spans="1:22" ht="26.25" hidden="1" customHeight="1" x14ac:dyDescent="0.2">
      <c r="A833" s="352"/>
      <c r="B833" s="352"/>
      <c r="C833" s="352"/>
      <c r="D833" s="352"/>
      <c r="E833" s="352"/>
      <c r="F833" s="352"/>
      <c r="G833" s="352"/>
      <c r="H833" s="352"/>
      <c r="I833" s="352"/>
      <c r="J833" s="352"/>
      <c r="K833" s="352"/>
      <c r="L833" s="352"/>
      <c r="M833" s="352"/>
      <c r="N833" s="352"/>
      <c r="O833" s="352"/>
      <c r="P833" s="352"/>
      <c r="Q833" s="352"/>
      <c r="R833" s="352"/>
      <c r="S833" s="352"/>
      <c r="T833" s="352"/>
      <c r="U833" s="352"/>
      <c r="V833" s="352"/>
    </row>
    <row r="834" spans="1:22" ht="26.25" hidden="1" customHeight="1" x14ac:dyDescent="0.2">
      <c r="A834" s="352"/>
      <c r="B834" s="352"/>
      <c r="C834" s="352"/>
      <c r="D834" s="352"/>
      <c r="E834" s="352"/>
      <c r="F834" s="352"/>
      <c r="G834" s="352"/>
      <c r="H834" s="352"/>
      <c r="I834" s="352"/>
      <c r="J834" s="352"/>
      <c r="K834" s="352"/>
      <c r="L834" s="352"/>
      <c r="M834" s="352"/>
      <c r="N834" s="352"/>
      <c r="O834" s="352"/>
      <c r="P834" s="352"/>
      <c r="Q834" s="352"/>
      <c r="R834" s="352"/>
      <c r="S834" s="352"/>
      <c r="T834" s="352"/>
      <c r="U834" s="352"/>
      <c r="V834" s="352"/>
    </row>
    <row r="835" spans="1:22" ht="26.25" hidden="1" customHeight="1" x14ac:dyDescent="0.2">
      <c r="A835" s="352"/>
      <c r="B835" s="352"/>
      <c r="C835" s="352"/>
      <c r="D835" s="352"/>
      <c r="E835" s="352"/>
      <c r="F835" s="352"/>
      <c r="G835" s="352"/>
      <c r="H835" s="352"/>
      <c r="I835" s="352"/>
      <c r="J835" s="352"/>
      <c r="K835" s="352"/>
      <c r="L835" s="352"/>
      <c r="M835" s="352"/>
      <c r="N835" s="352"/>
      <c r="O835" s="352"/>
      <c r="P835" s="352"/>
      <c r="Q835" s="352"/>
      <c r="R835" s="352"/>
      <c r="S835" s="352"/>
      <c r="T835" s="352"/>
      <c r="U835" s="352"/>
      <c r="V835" s="352"/>
    </row>
    <row r="836" spans="1:22" ht="26.25" hidden="1" customHeight="1" x14ac:dyDescent="0.2">
      <c r="A836" s="352"/>
      <c r="B836" s="352"/>
      <c r="C836" s="352"/>
      <c r="D836" s="352"/>
      <c r="E836" s="352"/>
      <c r="F836" s="352"/>
      <c r="G836" s="352"/>
      <c r="H836" s="352"/>
      <c r="I836" s="352"/>
      <c r="J836" s="352"/>
      <c r="K836" s="352"/>
      <c r="L836" s="352"/>
      <c r="M836" s="352"/>
      <c r="N836" s="352"/>
      <c r="O836" s="352"/>
      <c r="P836" s="352"/>
      <c r="Q836" s="352"/>
      <c r="R836" s="352"/>
      <c r="S836" s="352"/>
      <c r="T836" s="352"/>
      <c r="U836" s="352"/>
      <c r="V836" s="352"/>
    </row>
    <row r="837" spans="1:22" ht="26.25" hidden="1" customHeight="1" x14ac:dyDescent="0.2">
      <c r="A837" s="352"/>
      <c r="B837" s="352"/>
      <c r="C837" s="352"/>
      <c r="D837" s="352"/>
      <c r="E837" s="352"/>
      <c r="F837" s="352"/>
      <c r="G837" s="352"/>
      <c r="H837" s="352"/>
      <c r="I837" s="352"/>
      <c r="J837" s="352"/>
      <c r="K837" s="352"/>
      <c r="L837" s="352"/>
      <c r="M837" s="352"/>
      <c r="N837" s="352"/>
      <c r="O837" s="352"/>
      <c r="P837" s="352"/>
      <c r="Q837" s="352"/>
      <c r="R837" s="352"/>
      <c r="S837" s="352"/>
      <c r="T837" s="352"/>
      <c r="U837" s="352"/>
      <c r="V837" s="352"/>
    </row>
    <row r="838" spans="1:22" ht="26.25" hidden="1" customHeight="1" x14ac:dyDescent="0.2">
      <c r="A838" s="352"/>
      <c r="B838" s="352"/>
      <c r="C838" s="352"/>
      <c r="D838" s="352"/>
      <c r="E838" s="352"/>
      <c r="F838" s="352"/>
      <c r="G838" s="352"/>
      <c r="H838" s="352"/>
      <c r="I838" s="352"/>
      <c r="J838" s="352"/>
      <c r="K838" s="352"/>
      <c r="L838" s="352"/>
      <c r="M838" s="352"/>
      <c r="N838" s="352"/>
      <c r="O838" s="352"/>
      <c r="P838" s="352"/>
      <c r="Q838" s="352"/>
      <c r="R838" s="352"/>
      <c r="S838" s="352"/>
      <c r="T838" s="352"/>
      <c r="U838" s="352"/>
      <c r="V838" s="352"/>
    </row>
    <row r="839" spans="1:22" ht="26.25" hidden="1" customHeight="1" x14ac:dyDescent="0.2">
      <c r="A839" s="352"/>
      <c r="B839" s="352"/>
      <c r="C839" s="352"/>
      <c r="D839" s="352"/>
      <c r="E839" s="352"/>
      <c r="F839" s="352"/>
      <c r="G839" s="352"/>
      <c r="H839" s="352"/>
      <c r="I839" s="352"/>
      <c r="J839" s="352"/>
      <c r="K839" s="352"/>
      <c r="L839" s="352"/>
      <c r="M839" s="352"/>
      <c r="N839" s="352"/>
      <c r="O839" s="352"/>
      <c r="P839" s="352"/>
      <c r="Q839" s="352"/>
      <c r="R839" s="352"/>
      <c r="S839" s="352"/>
      <c r="T839" s="352"/>
      <c r="U839" s="352"/>
      <c r="V839" s="352"/>
    </row>
    <row r="840" spans="1:22" ht="26.25" hidden="1" customHeight="1" x14ac:dyDescent="0.2">
      <c r="A840" s="352"/>
      <c r="B840" s="352"/>
      <c r="C840" s="352"/>
      <c r="D840" s="352"/>
      <c r="E840" s="352"/>
      <c r="F840" s="352"/>
      <c r="G840" s="352"/>
      <c r="H840" s="352"/>
      <c r="I840" s="352"/>
      <c r="J840" s="352"/>
      <c r="K840" s="352"/>
      <c r="L840" s="352"/>
      <c r="M840" s="352"/>
      <c r="N840" s="352"/>
      <c r="O840" s="352"/>
      <c r="P840" s="352"/>
      <c r="Q840" s="352"/>
      <c r="R840" s="352"/>
      <c r="S840" s="352"/>
      <c r="T840" s="352"/>
      <c r="U840" s="352"/>
      <c r="V840" s="352"/>
    </row>
    <row r="841" spans="1:22" ht="26.25" hidden="1" customHeight="1" x14ac:dyDescent="0.2">
      <c r="A841" s="352"/>
      <c r="B841" s="352"/>
      <c r="C841" s="352"/>
      <c r="D841" s="352"/>
      <c r="E841" s="352"/>
      <c r="F841" s="352"/>
      <c r="G841" s="352"/>
      <c r="H841" s="352"/>
      <c r="I841" s="352"/>
      <c r="J841" s="352"/>
      <c r="K841" s="352"/>
      <c r="L841" s="352"/>
      <c r="M841" s="352"/>
      <c r="N841" s="352"/>
      <c r="O841" s="352"/>
      <c r="P841" s="352"/>
      <c r="Q841" s="352"/>
      <c r="R841" s="352"/>
      <c r="S841" s="352"/>
      <c r="T841" s="352"/>
      <c r="U841" s="352"/>
      <c r="V841" s="352"/>
    </row>
    <row r="842" spans="1:22" ht="26.25" hidden="1" customHeight="1" x14ac:dyDescent="0.2">
      <c r="A842" s="352"/>
      <c r="B842" s="352"/>
      <c r="C842" s="352"/>
      <c r="D842" s="352"/>
      <c r="E842" s="352"/>
      <c r="F842" s="352"/>
      <c r="G842" s="352"/>
      <c r="H842" s="352"/>
      <c r="I842" s="352"/>
      <c r="J842" s="352"/>
      <c r="K842" s="352"/>
      <c r="L842" s="352"/>
      <c r="M842" s="352"/>
      <c r="N842" s="352"/>
      <c r="O842" s="352"/>
      <c r="P842" s="352"/>
      <c r="Q842" s="352"/>
      <c r="R842" s="352"/>
      <c r="S842" s="352"/>
      <c r="T842" s="352"/>
      <c r="U842" s="352"/>
      <c r="V842" s="352"/>
    </row>
    <row r="843" spans="1:22" ht="26.25" hidden="1" customHeight="1" x14ac:dyDescent="0.2">
      <c r="A843" s="352"/>
      <c r="B843" s="352"/>
      <c r="C843" s="352"/>
      <c r="D843" s="352"/>
      <c r="E843" s="352"/>
      <c r="F843" s="352"/>
      <c r="G843" s="352"/>
      <c r="H843" s="352"/>
      <c r="I843" s="352"/>
      <c r="J843" s="352"/>
      <c r="K843" s="352"/>
      <c r="L843" s="352"/>
      <c r="M843" s="352"/>
      <c r="N843" s="352"/>
      <c r="O843" s="352"/>
      <c r="P843" s="352"/>
      <c r="Q843" s="352"/>
      <c r="R843" s="352"/>
      <c r="S843" s="352"/>
      <c r="T843" s="352"/>
      <c r="U843" s="352"/>
      <c r="V843" s="352"/>
    </row>
    <row r="844" spans="1:22" ht="26.25" hidden="1" customHeight="1" x14ac:dyDescent="0.2">
      <c r="A844" s="352"/>
      <c r="B844" s="352"/>
      <c r="C844" s="352"/>
      <c r="D844" s="352"/>
      <c r="E844" s="352"/>
      <c r="F844" s="352"/>
      <c r="G844" s="352"/>
      <c r="H844" s="352"/>
      <c r="I844" s="352"/>
      <c r="J844" s="352"/>
      <c r="K844" s="352"/>
      <c r="L844" s="352"/>
      <c r="M844" s="352"/>
      <c r="N844" s="352"/>
      <c r="O844" s="352"/>
      <c r="P844" s="352"/>
      <c r="Q844" s="352"/>
      <c r="R844" s="352"/>
      <c r="S844" s="352"/>
      <c r="T844" s="352"/>
      <c r="U844" s="352"/>
      <c r="V844" s="352"/>
    </row>
    <row r="845" spans="1:22" ht="26.25" hidden="1" customHeight="1" x14ac:dyDescent="0.2">
      <c r="A845" s="352"/>
      <c r="B845" s="352"/>
      <c r="C845" s="352"/>
      <c r="D845" s="352"/>
      <c r="E845" s="352"/>
      <c r="F845" s="352"/>
      <c r="G845" s="352"/>
      <c r="H845" s="352"/>
      <c r="I845" s="352"/>
      <c r="J845" s="352"/>
      <c r="K845" s="352"/>
      <c r="L845" s="352"/>
      <c r="M845" s="352"/>
      <c r="N845" s="352"/>
      <c r="O845" s="352"/>
      <c r="P845" s="352"/>
      <c r="Q845" s="352"/>
      <c r="R845" s="352"/>
      <c r="S845" s="352"/>
      <c r="T845" s="352"/>
      <c r="U845" s="352"/>
      <c r="V845" s="352"/>
    </row>
    <row r="846" spans="1:22" ht="26.25" hidden="1" customHeight="1" x14ac:dyDescent="0.2">
      <c r="A846" s="352"/>
      <c r="B846" s="352"/>
      <c r="C846" s="352"/>
      <c r="D846" s="352"/>
      <c r="E846" s="352"/>
      <c r="F846" s="352"/>
      <c r="G846" s="352"/>
      <c r="H846" s="352"/>
      <c r="I846" s="352"/>
      <c r="J846" s="352"/>
      <c r="K846" s="352"/>
      <c r="L846" s="352"/>
      <c r="M846" s="352"/>
      <c r="N846" s="352"/>
      <c r="O846" s="352"/>
      <c r="P846" s="352"/>
      <c r="Q846" s="352"/>
      <c r="R846" s="352"/>
      <c r="S846" s="352"/>
      <c r="T846" s="352"/>
      <c r="U846" s="352"/>
      <c r="V846" s="352"/>
    </row>
    <row r="847" spans="1:22" ht="26.25" hidden="1" customHeight="1" x14ac:dyDescent="0.2">
      <c r="A847" s="352"/>
      <c r="B847" s="352"/>
      <c r="C847" s="352"/>
      <c r="D847" s="352"/>
      <c r="E847" s="352"/>
      <c r="F847" s="352"/>
      <c r="G847" s="352"/>
      <c r="H847" s="352"/>
      <c r="I847" s="352"/>
      <c r="J847" s="352"/>
      <c r="K847" s="352"/>
      <c r="L847" s="352"/>
      <c r="M847" s="352"/>
      <c r="N847" s="352"/>
      <c r="O847" s="352"/>
      <c r="P847" s="352"/>
      <c r="Q847" s="352"/>
      <c r="R847" s="352"/>
      <c r="S847" s="352"/>
      <c r="T847" s="352"/>
      <c r="U847" s="352"/>
      <c r="V847" s="352"/>
    </row>
    <row r="848" spans="1:22" ht="26.25" hidden="1" customHeight="1" x14ac:dyDescent="0.2">
      <c r="A848" s="352"/>
      <c r="B848" s="352"/>
      <c r="C848" s="352"/>
      <c r="D848" s="352"/>
      <c r="E848" s="352"/>
      <c r="F848" s="352"/>
      <c r="G848" s="352"/>
      <c r="H848" s="352"/>
      <c r="I848" s="352"/>
      <c r="J848" s="352"/>
      <c r="K848" s="352"/>
      <c r="L848" s="352"/>
      <c r="M848" s="352"/>
      <c r="N848" s="352"/>
      <c r="O848" s="352"/>
      <c r="P848" s="352"/>
      <c r="Q848" s="352"/>
      <c r="R848" s="352"/>
      <c r="S848" s="352"/>
      <c r="T848" s="352"/>
      <c r="U848" s="352"/>
      <c r="V848" s="352"/>
    </row>
    <row r="849" spans="1:22" ht="26.25" hidden="1" customHeight="1" x14ac:dyDescent="0.2">
      <c r="A849" s="352"/>
      <c r="B849" s="352"/>
      <c r="C849" s="352"/>
      <c r="D849" s="352"/>
      <c r="E849" s="352"/>
      <c r="F849" s="352"/>
      <c r="G849" s="352"/>
      <c r="H849" s="352"/>
      <c r="I849" s="352"/>
      <c r="J849" s="352"/>
      <c r="K849" s="352"/>
      <c r="L849" s="352"/>
      <c r="M849" s="352"/>
      <c r="N849" s="352"/>
      <c r="O849" s="352"/>
      <c r="P849" s="352"/>
      <c r="Q849" s="352"/>
      <c r="R849" s="352"/>
      <c r="S849" s="352"/>
      <c r="T849" s="352"/>
      <c r="U849" s="352"/>
      <c r="V849" s="352"/>
    </row>
    <row r="850" spans="1:22" ht="26.25" hidden="1" customHeight="1" x14ac:dyDescent="0.2">
      <c r="A850" s="352"/>
      <c r="B850" s="352"/>
      <c r="C850" s="352"/>
      <c r="D850" s="352"/>
      <c r="E850" s="352"/>
      <c r="F850" s="352"/>
      <c r="G850" s="352"/>
      <c r="H850" s="352"/>
      <c r="I850" s="352"/>
      <c r="J850" s="352"/>
      <c r="K850" s="352"/>
      <c r="L850" s="352"/>
      <c r="M850" s="352"/>
      <c r="N850" s="352"/>
      <c r="O850" s="352"/>
      <c r="P850" s="352"/>
      <c r="Q850" s="352"/>
      <c r="R850" s="352"/>
      <c r="S850" s="352"/>
      <c r="T850" s="352"/>
      <c r="U850" s="352"/>
      <c r="V850" s="352"/>
    </row>
    <row r="851" spans="1:22" ht="26.25" hidden="1" customHeight="1" x14ac:dyDescent="0.2">
      <c r="A851" s="352"/>
      <c r="B851" s="352"/>
      <c r="C851" s="352"/>
      <c r="D851" s="352"/>
      <c r="E851" s="352"/>
      <c r="F851" s="352"/>
      <c r="G851" s="352"/>
      <c r="H851" s="352"/>
      <c r="I851" s="352"/>
      <c r="J851" s="352"/>
      <c r="K851" s="352"/>
      <c r="L851" s="352"/>
      <c r="M851" s="352"/>
      <c r="N851" s="352"/>
      <c r="O851" s="352"/>
      <c r="P851" s="352"/>
      <c r="Q851" s="352"/>
      <c r="R851" s="352"/>
      <c r="S851" s="352"/>
      <c r="T851" s="352"/>
      <c r="U851" s="352"/>
      <c r="V851" s="352"/>
    </row>
    <row r="852" spans="1:22" ht="26.25" hidden="1" customHeight="1" x14ac:dyDescent="0.2">
      <c r="A852" s="352"/>
      <c r="B852" s="352"/>
      <c r="C852" s="352"/>
      <c r="D852" s="352"/>
      <c r="E852" s="352"/>
      <c r="F852" s="352"/>
      <c r="G852" s="352"/>
      <c r="H852" s="352"/>
      <c r="I852" s="352"/>
      <c r="J852" s="352"/>
      <c r="K852" s="352"/>
      <c r="L852" s="352"/>
      <c r="M852" s="352"/>
      <c r="N852" s="352"/>
      <c r="O852" s="352"/>
      <c r="P852" s="352"/>
      <c r="Q852" s="352"/>
      <c r="R852" s="352"/>
      <c r="S852" s="352"/>
      <c r="T852" s="352"/>
      <c r="U852" s="352"/>
      <c r="V852" s="352"/>
    </row>
    <row r="853" spans="1:22" ht="26.25" hidden="1" customHeight="1" x14ac:dyDescent="0.2">
      <c r="A853" s="352"/>
      <c r="B853" s="352"/>
      <c r="C853" s="352"/>
      <c r="D853" s="352"/>
      <c r="E853" s="352"/>
      <c r="F853" s="352"/>
      <c r="G853" s="352"/>
      <c r="H853" s="352"/>
      <c r="I853" s="352"/>
      <c r="J853" s="352"/>
      <c r="K853" s="352"/>
      <c r="L853" s="352"/>
      <c r="M853" s="352"/>
      <c r="N853" s="352"/>
      <c r="O853" s="352"/>
      <c r="P853" s="352"/>
      <c r="Q853" s="352"/>
      <c r="R853" s="352"/>
      <c r="S853" s="352"/>
      <c r="T853" s="352"/>
      <c r="U853" s="352"/>
      <c r="V853" s="352"/>
    </row>
    <row r="854" spans="1:22" ht="26.25" hidden="1" customHeight="1" x14ac:dyDescent="0.2">
      <c r="A854" s="352"/>
      <c r="B854" s="352"/>
      <c r="C854" s="352"/>
      <c r="D854" s="352"/>
      <c r="E854" s="352"/>
      <c r="F854" s="352"/>
      <c r="G854" s="352"/>
      <c r="H854" s="352"/>
      <c r="I854" s="352"/>
      <c r="J854" s="352"/>
      <c r="K854" s="352"/>
      <c r="L854" s="352"/>
      <c r="M854" s="352"/>
      <c r="N854" s="352"/>
      <c r="O854" s="352"/>
      <c r="P854" s="352"/>
      <c r="Q854" s="352"/>
      <c r="R854" s="352"/>
      <c r="S854" s="352"/>
      <c r="T854" s="352"/>
      <c r="U854" s="352"/>
      <c r="V854" s="352"/>
    </row>
    <row r="855" spans="1:22" ht="26.25" hidden="1" customHeight="1" x14ac:dyDescent="0.2">
      <c r="A855" s="352"/>
      <c r="B855" s="352"/>
      <c r="C855" s="352"/>
      <c r="D855" s="352"/>
      <c r="E855" s="352"/>
      <c r="F855" s="352"/>
      <c r="G855" s="352"/>
      <c r="H855" s="352"/>
      <c r="I855" s="352"/>
      <c r="J855" s="352"/>
      <c r="K855" s="352"/>
      <c r="L855" s="352"/>
      <c r="M855" s="352"/>
      <c r="N855" s="352"/>
      <c r="O855" s="352"/>
      <c r="P855" s="352"/>
      <c r="Q855" s="352"/>
      <c r="R855" s="352"/>
      <c r="S855" s="352"/>
      <c r="T855" s="352"/>
      <c r="U855" s="352"/>
      <c r="V855" s="352"/>
    </row>
    <row r="856" spans="1:22" ht="26.25" hidden="1" customHeight="1" x14ac:dyDescent="0.2">
      <c r="A856" s="352"/>
      <c r="B856" s="352"/>
      <c r="C856" s="352"/>
      <c r="D856" s="352"/>
      <c r="E856" s="352"/>
      <c r="F856" s="352"/>
      <c r="G856" s="352"/>
      <c r="H856" s="352"/>
      <c r="I856" s="352"/>
      <c r="J856" s="352"/>
      <c r="K856" s="352"/>
      <c r="L856" s="352"/>
      <c r="M856" s="352"/>
      <c r="N856" s="352"/>
      <c r="O856" s="352"/>
      <c r="P856" s="352"/>
      <c r="Q856" s="352"/>
      <c r="R856" s="352"/>
      <c r="S856" s="352"/>
      <c r="T856" s="352"/>
      <c r="U856" s="352"/>
      <c r="V856" s="352"/>
    </row>
    <row r="857" spans="1:22" ht="26.25" hidden="1" customHeight="1" x14ac:dyDescent="0.2">
      <c r="A857" s="352"/>
      <c r="B857" s="352"/>
      <c r="C857" s="352"/>
      <c r="D857" s="352"/>
      <c r="E857" s="352"/>
      <c r="F857" s="352"/>
      <c r="G857" s="352"/>
      <c r="H857" s="352"/>
      <c r="I857" s="352"/>
      <c r="J857" s="352"/>
      <c r="K857" s="352"/>
      <c r="L857" s="352"/>
      <c r="M857" s="352"/>
      <c r="N857" s="352"/>
      <c r="O857" s="352"/>
      <c r="P857" s="352"/>
      <c r="Q857" s="352"/>
      <c r="R857" s="352"/>
      <c r="S857" s="352"/>
      <c r="T857" s="352"/>
      <c r="U857" s="352"/>
      <c r="V857" s="352"/>
    </row>
    <row r="858" spans="1:22" ht="26.25" hidden="1" customHeight="1" x14ac:dyDescent="0.2">
      <c r="A858" s="352"/>
      <c r="B858" s="352"/>
      <c r="C858" s="352"/>
      <c r="D858" s="352"/>
      <c r="E858" s="352"/>
      <c r="F858" s="352"/>
      <c r="G858" s="352"/>
      <c r="H858" s="352"/>
      <c r="I858" s="352"/>
      <c r="J858" s="352"/>
      <c r="K858" s="352"/>
      <c r="L858" s="352"/>
      <c r="M858" s="352"/>
      <c r="N858" s="352"/>
      <c r="O858" s="352"/>
      <c r="P858" s="352"/>
      <c r="Q858" s="352"/>
      <c r="R858" s="352"/>
      <c r="S858" s="352"/>
      <c r="T858" s="352"/>
      <c r="U858" s="352"/>
      <c r="V858" s="352"/>
    </row>
    <row r="859" spans="1:22" ht="26.25" hidden="1" customHeight="1" x14ac:dyDescent="0.2">
      <c r="A859" s="352"/>
      <c r="B859" s="352"/>
      <c r="C859" s="352"/>
      <c r="D859" s="352"/>
      <c r="E859" s="352"/>
      <c r="F859" s="352"/>
      <c r="G859" s="352"/>
      <c r="H859" s="352"/>
      <c r="I859" s="352"/>
      <c r="J859" s="352"/>
      <c r="K859" s="352"/>
      <c r="L859" s="352"/>
      <c r="M859" s="352"/>
      <c r="N859" s="352"/>
      <c r="O859" s="352"/>
      <c r="P859" s="352"/>
      <c r="Q859" s="352"/>
      <c r="R859" s="352"/>
      <c r="S859" s="352"/>
      <c r="T859" s="352"/>
      <c r="U859" s="352"/>
      <c r="V859" s="352"/>
    </row>
    <row r="860" spans="1:22" ht="26.25" hidden="1" customHeight="1" x14ac:dyDescent="0.2">
      <c r="A860" s="352"/>
      <c r="B860" s="352"/>
      <c r="C860" s="352"/>
      <c r="D860" s="352"/>
      <c r="E860" s="352"/>
      <c r="F860" s="352"/>
      <c r="G860" s="352"/>
      <c r="H860" s="352"/>
      <c r="I860" s="352"/>
      <c r="J860" s="352"/>
      <c r="K860" s="352"/>
      <c r="L860" s="352"/>
      <c r="M860" s="352"/>
      <c r="N860" s="352"/>
      <c r="O860" s="352"/>
      <c r="P860" s="352"/>
      <c r="Q860" s="352"/>
      <c r="R860" s="352"/>
      <c r="S860" s="352"/>
      <c r="T860" s="352"/>
      <c r="U860" s="352"/>
      <c r="V860" s="352"/>
    </row>
    <row r="861" spans="1:22" ht="26.25" hidden="1" customHeight="1" x14ac:dyDescent="0.2">
      <c r="A861" s="352"/>
      <c r="B861" s="352"/>
      <c r="C861" s="352"/>
      <c r="D861" s="352"/>
      <c r="E861" s="352"/>
      <c r="F861" s="352"/>
      <c r="G861" s="352"/>
      <c r="H861" s="352"/>
      <c r="I861" s="352"/>
      <c r="J861" s="352"/>
      <c r="K861" s="352"/>
      <c r="L861" s="352"/>
      <c r="M861" s="352"/>
      <c r="N861" s="352"/>
      <c r="O861" s="352"/>
      <c r="P861" s="352"/>
      <c r="Q861" s="352"/>
      <c r="R861" s="352"/>
      <c r="S861" s="352"/>
      <c r="T861" s="352"/>
      <c r="U861" s="352"/>
      <c r="V861" s="352"/>
    </row>
    <row r="862" spans="1:22" ht="26.25" hidden="1" customHeight="1" x14ac:dyDescent="0.2">
      <c r="A862" s="352"/>
      <c r="B862" s="352"/>
      <c r="C862" s="352"/>
      <c r="D862" s="352"/>
      <c r="E862" s="352"/>
      <c r="F862" s="352"/>
      <c r="G862" s="352"/>
      <c r="H862" s="352"/>
      <c r="I862" s="352"/>
      <c r="J862" s="352"/>
      <c r="K862" s="352"/>
      <c r="L862" s="352"/>
      <c r="M862" s="352"/>
      <c r="N862" s="352"/>
      <c r="O862" s="352"/>
      <c r="P862" s="352"/>
      <c r="Q862" s="352"/>
      <c r="R862" s="352"/>
      <c r="S862" s="352"/>
      <c r="T862" s="352"/>
      <c r="U862" s="352"/>
      <c r="V862" s="352"/>
    </row>
    <row r="863" spans="1:22" ht="26.25" hidden="1" customHeight="1" x14ac:dyDescent="0.2">
      <c r="A863" s="352"/>
      <c r="B863" s="352"/>
      <c r="C863" s="352"/>
      <c r="D863" s="352"/>
      <c r="E863" s="352"/>
      <c r="F863" s="352"/>
      <c r="G863" s="352"/>
      <c r="H863" s="352"/>
      <c r="I863" s="352"/>
      <c r="J863" s="352"/>
      <c r="K863" s="352"/>
      <c r="L863" s="352"/>
      <c r="M863" s="352"/>
      <c r="N863" s="352"/>
      <c r="O863" s="352"/>
      <c r="P863" s="352"/>
      <c r="Q863" s="352"/>
      <c r="R863" s="352"/>
      <c r="S863" s="352"/>
      <c r="T863" s="352"/>
      <c r="U863" s="352"/>
      <c r="V863" s="352"/>
    </row>
    <row r="864" spans="1:22" ht="26.25" hidden="1" customHeight="1" x14ac:dyDescent="0.2">
      <c r="A864" s="352"/>
      <c r="B864" s="352"/>
      <c r="C864" s="352"/>
      <c r="D864" s="352"/>
      <c r="E864" s="352"/>
      <c r="F864" s="352"/>
      <c r="G864" s="352"/>
      <c r="H864" s="352"/>
      <c r="I864" s="352"/>
      <c r="J864" s="352"/>
      <c r="K864" s="352"/>
      <c r="L864" s="352"/>
      <c r="M864" s="352"/>
      <c r="N864" s="352"/>
      <c r="O864" s="352"/>
      <c r="P864" s="352"/>
      <c r="Q864" s="352"/>
      <c r="R864" s="352"/>
      <c r="S864" s="352"/>
      <c r="T864" s="352"/>
      <c r="U864" s="352"/>
      <c r="V864" s="352"/>
    </row>
    <row r="865" spans="1:22" ht="26.25" hidden="1" customHeight="1" x14ac:dyDescent="0.2">
      <c r="A865" s="352"/>
      <c r="B865" s="352"/>
      <c r="C865" s="352"/>
      <c r="D865" s="352"/>
      <c r="E865" s="352"/>
      <c r="F865" s="352"/>
      <c r="G865" s="352"/>
      <c r="H865" s="352"/>
      <c r="I865" s="352"/>
      <c r="J865" s="352"/>
      <c r="K865" s="352"/>
      <c r="L865" s="352"/>
      <c r="M865" s="352"/>
      <c r="N865" s="352"/>
      <c r="O865" s="352"/>
      <c r="P865" s="352"/>
      <c r="Q865" s="352"/>
      <c r="R865" s="352"/>
      <c r="S865" s="352"/>
      <c r="T865" s="352"/>
      <c r="U865" s="352"/>
      <c r="V865" s="352"/>
    </row>
    <row r="866" spans="1:22" ht="26.25" hidden="1" customHeight="1" x14ac:dyDescent="0.2">
      <c r="A866" s="352"/>
      <c r="B866" s="352"/>
      <c r="C866" s="352"/>
      <c r="D866" s="352"/>
      <c r="E866" s="352"/>
      <c r="F866" s="352"/>
      <c r="G866" s="352"/>
      <c r="H866" s="352"/>
      <c r="I866" s="352"/>
      <c r="J866" s="352"/>
      <c r="K866" s="352"/>
      <c r="L866" s="352"/>
      <c r="M866" s="352"/>
      <c r="N866" s="352"/>
      <c r="O866" s="352"/>
      <c r="P866" s="352"/>
      <c r="Q866" s="352"/>
      <c r="R866" s="352"/>
      <c r="S866" s="352"/>
      <c r="T866" s="352"/>
      <c r="U866" s="352"/>
      <c r="V866" s="352"/>
    </row>
    <row r="867" spans="1:22" ht="26.25" hidden="1" customHeight="1" x14ac:dyDescent="0.2">
      <c r="A867" s="352"/>
      <c r="B867" s="352"/>
      <c r="C867" s="352"/>
      <c r="D867" s="352"/>
      <c r="E867" s="352"/>
      <c r="F867" s="352"/>
      <c r="G867" s="352"/>
      <c r="H867" s="352"/>
      <c r="I867" s="352"/>
      <c r="J867" s="352"/>
      <c r="K867" s="352"/>
      <c r="L867" s="352"/>
      <c r="M867" s="352"/>
      <c r="N867" s="352"/>
      <c r="O867" s="352"/>
      <c r="P867" s="352"/>
      <c r="Q867" s="352"/>
      <c r="R867" s="352"/>
      <c r="S867" s="352"/>
      <c r="T867" s="352"/>
      <c r="U867" s="352"/>
      <c r="V867" s="352"/>
    </row>
    <row r="868" spans="1:22" ht="26.25" hidden="1" customHeight="1" x14ac:dyDescent="0.2">
      <c r="A868" s="352"/>
      <c r="B868" s="352"/>
      <c r="C868" s="352"/>
      <c r="D868" s="352"/>
      <c r="E868" s="352"/>
      <c r="F868" s="352"/>
      <c r="G868" s="352"/>
      <c r="H868" s="352"/>
      <c r="I868" s="352"/>
      <c r="J868" s="352"/>
      <c r="K868" s="352"/>
      <c r="L868" s="352"/>
      <c r="M868" s="352"/>
      <c r="N868" s="352"/>
      <c r="O868" s="352"/>
      <c r="P868" s="352"/>
      <c r="Q868" s="352"/>
      <c r="R868" s="352"/>
      <c r="S868" s="352"/>
      <c r="T868" s="352"/>
      <c r="U868" s="352"/>
      <c r="V868" s="352"/>
    </row>
    <row r="869" spans="1:22" ht="26.25" hidden="1" customHeight="1" x14ac:dyDescent="0.2">
      <c r="A869" s="352"/>
      <c r="B869" s="352"/>
      <c r="C869" s="352"/>
      <c r="D869" s="352"/>
      <c r="E869" s="352"/>
      <c r="F869" s="352"/>
      <c r="G869" s="352"/>
      <c r="H869" s="352"/>
      <c r="I869" s="352"/>
      <c r="J869" s="352"/>
      <c r="K869" s="352"/>
      <c r="L869" s="352"/>
      <c r="M869" s="352"/>
      <c r="N869" s="352"/>
      <c r="O869" s="352"/>
      <c r="P869" s="352"/>
      <c r="Q869" s="352"/>
      <c r="R869" s="352"/>
      <c r="S869" s="352"/>
      <c r="T869" s="352"/>
      <c r="U869" s="352"/>
      <c r="V869" s="352"/>
    </row>
    <row r="870" spans="1:22" ht="26.25" hidden="1" customHeight="1" x14ac:dyDescent="0.2">
      <c r="A870" s="352"/>
      <c r="B870" s="352"/>
      <c r="C870" s="352"/>
      <c r="D870" s="352"/>
      <c r="E870" s="352"/>
      <c r="F870" s="352"/>
      <c r="G870" s="352"/>
      <c r="H870" s="352"/>
      <c r="I870" s="352"/>
      <c r="J870" s="352"/>
      <c r="K870" s="352"/>
      <c r="L870" s="352"/>
      <c r="M870" s="352"/>
      <c r="N870" s="352"/>
      <c r="O870" s="352"/>
      <c r="P870" s="352"/>
      <c r="Q870" s="352"/>
      <c r="R870" s="352"/>
      <c r="S870" s="352"/>
      <c r="T870" s="352"/>
      <c r="U870" s="352"/>
      <c r="V870" s="352"/>
    </row>
    <row r="871" spans="1:22" ht="26.25" hidden="1" customHeight="1" x14ac:dyDescent="0.2">
      <c r="A871" s="352"/>
      <c r="B871" s="352"/>
      <c r="C871" s="352"/>
      <c r="D871" s="352"/>
      <c r="E871" s="352"/>
      <c r="F871" s="352"/>
      <c r="G871" s="352"/>
      <c r="H871" s="352"/>
      <c r="I871" s="352"/>
      <c r="J871" s="352"/>
      <c r="K871" s="352"/>
      <c r="L871" s="352"/>
      <c r="M871" s="352"/>
      <c r="N871" s="352"/>
      <c r="O871" s="352"/>
      <c r="P871" s="352"/>
      <c r="Q871" s="352"/>
      <c r="R871" s="352"/>
      <c r="S871" s="352"/>
      <c r="T871" s="352"/>
      <c r="U871" s="352"/>
      <c r="V871" s="352"/>
    </row>
    <row r="872" spans="1:22" ht="26.25" hidden="1" customHeight="1" x14ac:dyDescent="0.2">
      <c r="A872" s="352"/>
      <c r="B872" s="352"/>
      <c r="C872" s="352"/>
      <c r="D872" s="352"/>
      <c r="E872" s="352"/>
      <c r="F872" s="352"/>
      <c r="G872" s="352"/>
      <c r="H872" s="352"/>
      <c r="I872" s="352"/>
      <c r="J872" s="352"/>
      <c r="K872" s="352"/>
      <c r="L872" s="352"/>
      <c r="M872" s="352"/>
      <c r="N872" s="352"/>
      <c r="O872" s="352"/>
      <c r="P872" s="352"/>
      <c r="Q872" s="352"/>
      <c r="R872" s="352"/>
      <c r="S872" s="352"/>
      <c r="T872" s="352"/>
      <c r="U872" s="352"/>
      <c r="V872" s="352"/>
    </row>
    <row r="873" spans="1:22" ht="26.25" hidden="1" customHeight="1" x14ac:dyDescent="0.2">
      <c r="A873" s="352"/>
      <c r="B873" s="352"/>
      <c r="C873" s="352"/>
      <c r="D873" s="352"/>
      <c r="E873" s="352"/>
      <c r="F873" s="352"/>
      <c r="G873" s="352"/>
      <c r="H873" s="352"/>
      <c r="I873" s="352"/>
      <c r="J873" s="352"/>
      <c r="K873" s="352"/>
      <c r="L873" s="352"/>
      <c r="M873" s="352"/>
      <c r="N873" s="352"/>
      <c r="O873" s="352"/>
      <c r="P873" s="352"/>
      <c r="Q873" s="352"/>
      <c r="R873" s="352"/>
      <c r="S873" s="352"/>
      <c r="T873" s="352"/>
      <c r="U873" s="352"/>
      <c r="V873" s="352"/>
    </row>
    <row r="874" spans="1:22" ht="26.25" hidden="1" customHeight="1" x14ac:dyDescent="0.2">
      <c r="A874" s="352"/>
      <c r="B874" s="352"/>
      <c r="C874" s="352"/>
      <c r="D874" s="352"/>
      <c r="E874" s="352"/>
      <c r="F874" s="352"/>
      <c r="G874" s="352"/>
      <c r="H874" s="352"/>
      <c r="I874" s="352"/>
      <c r="J874" s="352"/>
      <c r="K874" s="352"/>
      <c r="L874" s="352"/>
      <c r="M874" s="352"/>
      <c r="N874" s="352"/>
      <c r="O874" s="352"/>
      <c r="P874" s="352"/>
      <c r="Q874" s="352"/>
      <c r="R874" s="352"/>
      <c r="S874" s="352"/>
      <c r="T874" s="352"/>
      <c r="U874" s="352"/>
      <c r="V874" s="352"/>
    </row>
    <row r="875" spans="1:22" ht="26.25" hidden="1" customHeight="1" x14ac:dyDescent="0.2">
      <c r="A875" s="352"/>
      <c r="B875" s="352"/>
      <c r="C875" s="352"/>
      <c r="D875" s="352"/>
      <c r="E875" s="352"/>
      <c r="F875" s="352"/>
      <c r="G875" s="352"/>
      <c r="H875" s="352"/>
      <c r="I875" s="352"/>
      <c r="J875" s="352"/>
      <c r="K875" s="352"/>
      <c r="L875" s="352"/>
      <c r="M875" s="352"/>
      <c r="N875" s="352"/>
      <c r="O875" s="352"/>
      <c r="P875" s="352"/>
      <c r="Q875" s="352"/>
      <c r="R875" s="352"/>
      <c r="S875" s="352"/>
      <c r="T875" s="352"/>
      <c r="U875" s="352"/>
      <c r="V875" s="352"/>
    </row>
    <row r="876" spans="1:22" ht="26.25" hidden="1" customHeight="1" x14ac:dyDescent="0.2">
      <c r="A876" s="352"/>
      <c r="B876" s="352"/>
      <c r="C876" s="352"/>
      <c r="D876" s="352"/>
      <c r="E876" s="352"/>
      <c r="F876" s="352"/>
      <c r="G876" s="352"/>
      <c r="H876" s="352"/>
      <c r="I876" s="352"/>
      <c r="J876" s="352"/>
      <c r="K876" s="352"/>
      <c r="L876" s="352"/>
      <c r="M876" s="352"/>
      <c r="N876" s="352"/>
      <c r="O876" s="352"/>
      <c r="P876" s="352"/>
      <c r="Q876" s="352"/>
      <c r="R876" s="352"/>
      <c r="S876" s="352"/>
      <c r="T876" s="352"/>
      <c r="U876" s="352"/>
      <c r="V876" s="352"/>
    </row>
    <row r="877" spans="1:22" ht="26.25" hidden="1" customHeight="1" x14ac:dyDescent="0.2">
      <c r="A877" s="352"/>
      <c r="B877" s="352"/>
      <c r="C877" s="352"/>
      <c r="D877" s="352"/>
      <c r="E877" s="352"/>
      <c r="F877" s="352"/>
      <c r="G877" s="352"/>
      <c r="H877" s="352"/>
      <c r="I877" s="352"/>
      <c r="J877" s="352"/>
      <c r="K877" s="352"/>
      <c r="L877" s="352"/>
      <c r="M877" s="352"/>
      <c r="N877" s="352"/>
      <c r="O877" s="352"/>
      <c r="P877" s="352"/>
      <c r="Q877" s="352"/>
      <c r="R877" s="352"/>
      <c r="S877" s="352"/>
      <c r="T877" s="352"/>
      <c r="U877" s="352"/>
      <c r="V877" s="352"/>
    </row>
    <row r="878" spans="1:22" ht="26.25" hidden="1" customHeight="1" x14ac:dyDescent="0.2">
      <c r="A878" s="352"/>
      <c r="B878" s="352"/>
      <c r="C878" s="352"/>
      <c r="D878" s="352"/>
      <c r="E878" s="352"/>
      <c r="F878" s="352"/>
      <c r="G878" s="352"/>
      <c r="H878" s="352"/>
      <c r="I878" s="352"/>
      <c r="J878" s="352"/>
      <c r="K878" s="352"/>
      <c r="L878" s="352"/>
      <c r="M878" s="352"/>
      <c r="N878" s="352"/>
      <c r="O878" s="352"/>
      <c r="P878" s="352"/>
      <c r="Q878" s="352"/>
      <c r="R878" s="352"/>
      <c r="S878" s="352"/>
      <c r="T878" s="352"/>
      <c r="U878" s="352"/>
      <c r="V878" s="352"/>
    </row>
    <row r="879" spans="1:22" ht="26.25" hidden="1" customHeight="1" x14ac:dyDescent="0.2">
      <c r="A879" s="352"/>
      <c r="B879" s="352"/>
      <c r="C879" s="352"/>
      <c r="D879" s="352"/>
      <c r="E879" s="352"/>
      <c r="F879" s="352"/>
      <c r="G879" s="352"/>
      <c r="H879" s="352"/>
      <c r="I879" s="352"/>
      <c r="J879" s="352"/>
      <c r="K879" s="352"/>
      <c r="L879" s="352"/>
      <c r="M879" s="352"/>
      <c r="N879" s="352"/>
      <c r="O879" s="352"/>
      <c r="P879" s="352"/>
      <c r="Q879" s="352"/>
      <c r="R879" s="352"/>
      <c r="S879" s="352"/>
      <c r="T879" s="352"/>
      <c r="U879" s="352"/>
      <c r="V879" s="352"/>
    </row>
    <row r="880" spans="1:22" ht="26.25" hidden="1" customHeight="1" x14ac:dyDescent="0.2">
      <c r="A880" s="352"/>
      <c r="B880" s="352"/>
      <c r="C880" s="352"/>
      <c r="D880" s="352"/>
      <c r="E880" s="352"/>
      <c r="F880" s="352"/>
      <c r="G880" s="352"/>
      <c r="H880" s="352"/>
      <c r="I880" s="352"/>
      <c r="J880" s="352"/>
      <c r="K880" s="352"/>
      <c r="L880" s="352"/>
      <c r="M880" s="352"/>
      <c r="N880" s="352"/>
      <c r="O880" s="352"/>
      <c r="P880" s="352"/>
      <c r="Q880" s="352"/>
      <c r="R880" s="352"/>
      <c r="S880" s="352"/>
      <c r="T880" s="352"/>
      <c r="U880" s="352"/>
      <c r="V880" s="352"/>
    </row>
    <row r="881" spans="1:22" ht="26.25" hidden="1" customHeight="1" x14ac:dyDescent="0.2">
      <c r="A881" s="352"/>
      <c r="B881" s="352"/>
      <c r="C881" s="352"/>
      <c r="D881" s="352"/>
      <c r="E881" s="352"/>
      <c r="F881" s="352"/>
      <c r="G881" s="352"/>
      <c r="H881" s="352"/>
      <c r="I881" s="352"/>
      <c r="J881" s="352"/>
      <c r="K881" s="352"/>
      <c r="L881" s="352"/>
      <c r="M881" s="352"/>
      <c r="N881" s="352"/>
      <c r="O881" s="352"/>
      <c r="P881" s="352"/>
      <c r="Q881" s="352"/>
      <c r="R881" s="352"/>
      <c r="S881" s="352"/>
      <c r="T881" s="352"/>
      <c r="U881" s="352"/>
      <c r="V881" s="352"/>
    </row>
    <row r="882" spans="1:22" ht="26.25" hidden="1" customHeight="1" x14ac:dyDescent="0.2">
      <c r="A882" s="352"/>
      <c r="B882" s="352"/>
      <c r="C882" s="352"/>
      <c r="D882" s="352"/>
      <c r="E882" s="352"/>
      <c r="F882" s="352"/>
      <c r="G882" s="352"/>
      <c r="H882" s="352"/>
      <c r="I882" s="352"/>
      <c r="J882" s="352"/>
      <c r="K882" s="352"/>
      <c r="L882" s="352"/>
      <c r="M882" s="352"/>
      <c r="N882" s="352"/>
      <c r="O882" s="352"/>
      <c r="P882" s="352"/>
      <c r="Q882" s="352"/>
      <c r="R882" s="352"/>
      <c r="S882" s="352"/>
      <c r="T882" s="352"/>
      <c r="U882" s="352"/>
      <c r="V882" s="352"/>
    </row>
    <row r="883" spans="1:22" ht="26.25" hidden="1" customHeight="1" x14ac:dyDescent="0.2">
      <c r="A883" s="352"/>
      <c r="B883" s="352"/>
      <c r="C883" s="352"/>
      <c r="D883" s="352"/>
      <c r="E883" s="352"/>
      <c r="F883" s="352"/>
      <c r="G883" s="352"/>
      <c r="H883" s="352"/>
      <c r="I883" s="352"/>
      <c r="J883" s="352"/>
      <c r="K883" s="352"/>
      <c r="L883" s="352"/>
      <c r="M883" s="352"/>
      <c r="N883" s="352"/>
      <c r="O883" s="352"/>
      <c r="P883" s="352"/>
      <c r="Q883" s="352"/>
      <c r="R883" s="352"/>
      <c r="S883" s="352"/>
      <c r="T883" s="352"/>
      <c r="U883" s="352"/>
      <c r="V883" s="352"/>
    </row>
    <row r="884" spans="1:22" ht="26.25" hidden="1" customHeight="1" x14ac:dyDescent="0.2">
      <c r="A884" s="352"/>
      <c r="B884" s="352"/>
      <c r="C884" s="352"/>
      <c r="D884" s="352"/>
      <c r="E884" s="352"/>
      <c r="F884" s="352"/>
      <c r="G884" s="352"/>
      <c r="H884" s="352"/>
      <c r="I884" s="352"/>
      <c r="J884" s="352"/>
      <c r="K884" s="352"/>
      <c r="L884" s="352"/>
      <c r="M884" s="352"/>
      <c r="N884" s="352"/>
      <c r="O884" s="352"/>
      <c r="P884" s="352"/>
      <c r="Q884" s="352"/>
      <c r="R884" s="352"/>
      <c r="S884" s="352"/>
      <c r="T884" s="352"/>
      <c r="U884" s="352"/>
      <c r="V884" s="352"/>
    </row>
    <row r="885" spans="1:22" ht="26.25" hidden="1" customHeight="1" x14ac:dyDescent="0.2">
      <c r="A885" s="352"/>
      <c r="B885" s="352"/>
      <c r="C885" s="352"/>
      <c r="D885" s="352"/>
      <c r="E885" s="352"/>
      <c r="F885" s="352"/>
      <c r="G885" s="352"/>
      <c r="H885" s="352"/>
      <c r="I885" s="352"/>
      <c r="J885" s="352"/>
      <c r="K885" s="352"/>
      <c r="L885" s="352"/>
      <c r="M885" s="352"/>
      <c r="N885" s="352"/>
      <c r="O885" s="352"/>
      <c r="P885" s="352"/>
      <c r="Q885" s="352"/>
      <c r="R885" s="352"/>
      <c r="S885" s="352"/>
      <c r="T885" s="352"/>
      <c r="U885" s="352"/>
      <c r="V885" s="352"/>
    </row>
    <row r="886" spans="1:22" ht="26.25" hidden="1" customHeight="1" x14ac:dyDescent="0.2">
      <c r="A886" s="352"/>
      <c r="B886" s="352"/>
      <c r="C886" s="352"/>
      <c r="D886" s="352"/>
      <c r="E886" s="352"/>
      <c r="F886" s="352"/>
      <c r="G886" s="352"/>
      <c r="H886" s="352"/>
      <c r="I886" s="352"/>
      <c r="J886" s="352"/>
      <c r="K886" s="352"/>
      <c r="L886" s="352"/>
      <c r="M886" s="352"/>
      <c r="N886" s="352"/>
      <c r="O886" s="352"/>
      <c r="P886" s="352"/>
      <c r="Q886" s="352"/>
      <c r="R886" s="352"/>
      <c r="S886" s="352"/>
      <c r="T886" s="352"/>
      <c r="U886" s="352"/>
      <c r="V886" s="352"/>
    </row>
    <row r="887" spans="1:22" ht="26.25" hidden="1" customHeight="1" x14ac:dyDescent="0.2">
      <c r="A887" s="352"/>
      <c r="B887" s="352"/>
      <c r="C887" s="352"/>
      <c r="D887" s="352"/>
      <c r="E887" s="352"/>
      <c r="F887" s="352"/>
      <c r="G887" s="352"/>
      <c r="H887" s="352"/>
      <c r="I887" s="352"/>
      <c r="J887" s="352"/>
      <c r="K887" s="352"/>
      <c r="L887" s="352"/>
      <c r="M887" s="352"/>
      <c r="N887" s="352"/>
      <c r="O887" s="352"/>
      <c r="P887" s="352"/>
      <c r="Q887" s="352"/>
      <c r="R887" s="352"/>
      <c r="S887" s="352"/>
      <c r="T887" s="352"/>
      <c r="U887" s="352"/>
      <c r="V887" s="352"/>
    </row>
    <row r="888" spans="1:22" ht="26.25" hidden="1" customHeight="1" x14ac:dyDescent="0.2">
      <c r="A888" s="352"/>
      <c r="B888" s="352"/>
      <c r="C888" s="352"/>
      <c r="D888" s="352"/>
      <c r="E888" s="352"/>
      <c r="F888" s="352"/>
      <c r="G888" s="352"/>
      <c r="H888" s="352"/>
      <c r="I888" s="352"/>
      <c r="J888" s="352"/>
      <c r="K888" s="352"/>
      <c r="L888" s="352"/>
      <c r="M888" s="352"/>
      <c r="N888" s="352"/>
      <c r="O888" s="352"/>
      <c r="P888" s="352"/>
      <c r="Q888" s="352"/>
      <c r="R888" s="352"/>
      <c r="S888" s="352"/>
      <c r="T888" s="352"/>
      <c r="U888" s="352"/>
      <c r="V888" s="352"/>
    </row>
    <row r="889" spans="1:22" ht="26.25" hidden="1" customHeight="1" x14ac:dyDescent="0.2">
      <c r="A889" s="352"/>
      <c r="B889" s="352"/>
      <c r="C889" s="352"/>
      <c r="D889" s="352"/>
      <c r="E889" s="352"/>
      <c r="F889" s="352"/>
      <c r="G889" s="352"/>
      <c r="H889" s="352"/>
      <c r="I889" s="352"/>
      <c r="J889" s="352"/>
      <c r="K889" s="352"/>
      <c r="L889" s="352"/>
      <c r="M889" s="352"/>
      <c r="N889" s="352"/>
      <c r="O889" s="352"/>
      <c r="P889" s="352"/>
      <c r="Q889" s="352"/>
      <c r="R889" s="352"/>
      <c r="S889" s="352"/>
      <c r="T889" s="352"/>
      <c r="U889" s="352"/>
      <c r="V889" s="352"/>
    </row>
    <row r="890" spans="1:22" ht="26.25" hidden="1" customHeight="1" x14ac:dyDescent="0.2">
      <c r="A890" s="352"/>
      <c r="B890" s="352"/>
      <c r="C890" s="352"/>
      <c r="D890" s="352"/>
      <c r="E890" s="352"/>
      <c r="F890" s="352"/>
      <c r="G890" s="352"/>
      <c r="H890" s="352"/>
      <c r="I890" s="352"/>
      <c r="J890" s="352"/>
      <c r="K890" s="352"/>
      <c r="L890" s="352"/>
      <c r="M890" s="352"/>
      <c r="N890" s="352"/>
      <c r="O890" s="352"/>
      <c r="P890" s="352"/>
      <c r="Q890" s="352"/>
      <c r="R890" s="352"/>
      <c r="S890" s="352"/>
      <c r="T890" s="352"/>
      <c r="U890" s="352"/>
      <c r="V890" s="352"/>
    </row>
    <row r="891" spans="1:22" ht="26.25" hidden="1" customHeight="1" x14ac:dyDescent="0.2">
      <c r="A891" s="352"/>
      <c r="B891" s="352"/>
      <c r="C891" s="352"/>
      <c r="D891" s="352"/>
      <c r="E891" s="352"/>
      <c r="F891" s="352"/>
      <c r="G891" s="352"/>
      <c r="H891" s="352"/>
      <c r="I891" s="352"/>
      <c r="J891" s="352"/>
      <c r="K891" s="352"/>
      <c r="L891" s="352"/>
      <c r="M891" s="352"/>
      <c r="N891" s="352"/>
      <c r="O891" s="352"/>
      <c r="P891" s="352"/>
      <c r="Q891" s="352"/>
      <c r="R891" s="352"/>
      <c r="S891" s="352"/>
      <c r="T891" s="352"/>
      <c r="U891" s="352"/>
      <c r="V891" s="352"/>
    </row>
    <row r="892" spans="1:22" ht="26.25" hidden="1" customHeight="1" x14ac:dyDescent="0.2">
      <c r="A892" s="352"/>
      <c r="B892" s="352"/>
      <c r="C892" s="352"/>
      <c r="D892" s="352"/>
      <c r="E892" s="352"/>
      <c r="F892" s="352"/>
      <c r="G892" s="352"/>
      <c r="H892" s="352"/>
      <c r="I892" s="352"/>
      <c r="J892" s="352"/>
      <c r="K892" s="352"/>
      <c r="L892" s="352"/>
      <c r="M892" s="352"/>
      <c r="N892" s="352"/>
      <c r="O892" s="352"/>
      <c r="P892" s="352"/>
      <c r="Q892" s="352"/>
      <c r="R892" s="352"/>
      <c r="S892" s="352"/>
      <c r="T892" s="352"/>
      <c r="U892" s="352"/>
      <c r="V892" s="352"/>
    </row>
    <row r="893" spans="1:22" ht="26.25" hidden="1" customHeight="1" x14ac:dyDescent="0.2">
      <c r="A893" s="352"/>
      <c r="B893" s="352"/>
      <c r="C893" s="352"/>
      <c r="D893" s="352"/>
      <c r="E893" s="352"/>
      <c r="F893" s="352"/>
      <c r="G893" s="352"/>
      <c r="H893" s="352"/>
      <c r="I893" s="352"/>
      <c r="J893" s="352"/>
      <c r="K893" s="352"/>
      <c r="L893" s="352"/>
      <c r="M893" s="352"/>
      <c r="N893" s="352"/>
      <c r="O893" s="352"/>
      <c r="P893" s="352"/>
      <c r="Q893" s="352"/>
      <c r="R893" s="352"/>
      <c r="S893" s="352"/>
      <c r="T893" s="352"/>
      <c r="U893" s="352"/>
      <c r="V893" s="352"/>
    </row>
    <row r="894" spans="1:22" ht="26.25" hidden="1" customHeight="1" x14ac:dyDescent="0.2">
      <c r="A894" s="352"/>
      <c r="B894" s="352"/>
      <c r="C894" s="352"/>
      <c r="D894" s="352"/>
      <c r="E894" s="352"/>
      <c r="F894" s="352"/>
      <c r="G894" s="352"/>
      <c r="H894" s="352"/>
      <c r="I894" s="352"/>
      <c r="J894" s="352"/>
      <c r="K894" s="352"/>
      <c r="L894" s="352"/>
      <c r="M894" s="352"/>
      <c r="N894" s="352"/>
      <c r="O894" s="352"/>
      <c r="P894" s="352"/>
      <c r="Q894" s="352"/>
      <c r="R894" s="352"/>
      <c r="S894" s="352"/>
      <c r="T894" s="352"/>
      <c r="U894" s="352"/>
      <c r="V894" s="352"/>
    </row>
    <row r="895" spans="1:22" ht="26.25" hidden="1" customHeight="1" x14ac:dyDescent="0.2">
      <c r="A895" s="352"/>
      <c r="B895" s="352"/>
      <c r="C895" s="352"/>
      <c r="D895" s="352"/>
      <c r="E895" s="352"/>
      <c r="F895" s="352"/>
      <c r="G895" s="352"/>
      <c r="H895" s="352"/>
      <c r="I895" s="352"/>
      <c r="J895" s="352"/>
      <c r="K895" s="352"/>
      <c r="L895" s="352"/>
      <c r="M895" s="352"/>
      <c r="N895" s="352"/>
      <c r="O895" s="352"/>
      <c r="P895" s="352"/>
      <c r="Q895" s="352"/>
      <c r="R895" s="352"/>
      <c r="S895" s="352"/>
      <c r="T895" s="352"/>
      <c r="U895" s="352"/>
      <c r="V895" s="352"/>
    </row>
    <row r="896" spans="1:22" ht="26.25" hidden="1" customHeight="1" x14ac:dyDescent="0.2">
      <c r="A896" s="352"/>
      <c r="B896" s="352"/>
      <c r="C896" s="352"/>
      <c r="D896" s="352"/>
      <c r="E896" s="352"/>
      <c r="F896" s="352"/>
      <c r="G896" s="352"/>
      <c r="H896" s="352"/>
      <c r="I896" s="352"/>
      <c r="J896" s="352"/>
      <c r="K896" s="352"/>
      <c r="L896" s="352"/>
      <c r="M896" s="352"/>
      <c r="N896" s="352"/>
      <c r="O896" s="352"/>
      <c r="P896" s="352"/>
      <c r="Q896" s="352"/>
      <c r="R896" s="352"/>
      <c r="S896" s="352"/>
      <c r="T896" s="352"/>
      <c r="U896" s="352"/>
      <c r="V896" s="352"/>
    </row>
    <row r="897" spans="1:22" ht="26.25" hidden="1" customHeight="1" x14ac:dyDescent="0.2">
      <c r="A897" s="352"/>
      <c r="B897" s="352"/>
      <c r="C897" s="352"/>
      <c r="D897" s="352"/>
      <c r="E897" s="352"/>
      <c r="F897" s="352"/>
      <c r="G897" s="352"/>
      <c r="H897" s="352"/>
      <c r="I897" s="352"/>
      <c r="J897" s="352"/>
      <c r="K897" s="352"/>
      <c r="L897" s="352"/>
      <c r="M897" s="352"/>
      <c r="N897" s="352"/>
      <c r="O897" s="352"/>
      <c r="P897" s="352"/>
      <c r="Q897" s="352"/>
      <c r="R897" s="352"/>
      <c r="S897" s="352"/>
      <c r="T897" s="352"/>
      <c r="U897" s="352"/>
      <c r="V897" s="352"/>
    </row>
    <row r="898" spans="1:22" ht="26.25" hidden="1" customHeight="1" x14ac:dyDescent="0.2">
      <c r="A898" s="352"/>
      <c r="B898" s="352"/>
      <c r="C898" s="352"/>
      <c r="D898" s="352"/>
      <c r="E898" s="352"/>
      <c r="F898" s="352"/>
      <c r="G898" s="352"/>
      <c r="H898" s="352"/>
      <c r="I898" s="352"/>
      <c r="J898" s="352"/>
      <c r="K898" s="352"/>
      <c r="L898" s="352"/>
      <c r="M898" s="352"/>
      <c r="N898" s="352"/>
      <c r="O898" s="352"/>
      <c r="P898" s="352"/>
      <c r="Q898" s="352"/>
      <c r="R898" s="352"/>
      <c r="S898" s="352"/>
      <c r="T898" s="352"/>
      <c r="U898" s="352"/>
      <c r="V898" s="352"/>
    </row>
    <row r="899" spans="1:22" ht="26.25" hidden="1" customHeight="1" x14ac:dyDescent="0.2">
      <c r="A899" s="352"/>
      <c r="B899" s="352"/>
      <c r="C899" s="352"/>
      <c r="D899" s="352"/>
      <c r="E899" s="352"/>
      <c r="F899" s="352"/>
      <c r="G899" s="352"/>
      <c r="H899" s="352"/>
      <c r="I899" s="352"/>
      <c r="J899" s="352"/>
      <c r="K899" s="352"/>
      <c r="L899" s="352"/>
      <c r="M899" s="352"/>
      <c r="N899" s="352"/>
      <c r="O899" s="352"/>
      <c r="P899" s="352"/>
      <c r="Q899" s="352"/>
      <c r="R899" s="352"/>
      <c r="S899" s="352"/>
      <c r="T899" s="352"/>
      <c r="U899" s="352"/>
      <c r="V899" s="352"/>
    </row>
    <row r="900" spans="1:22" ht="26.25" hidden="1" customHeight="1" x14ac:dyDescent="0.2">
      <c r="A900" s="352"/>
      <c r="B900" s="352"/>
      <c r="C900" s="352"/>
      <c r="D900" s="352"/>
      <c r="E900" s="352"/>
      <c r="F900" s="352"/>
      <c r="G900" s="352"/>
      <c r="H900" s="352"/>
      <c r="I900" s="352"/>
      <c r="J900" s="352"/>
      <c r="K900" s="352"/>
      <c r="L900" s="352"/>
      <c r="M900" s="352"/>
      <c r="N900" s="352"/>
      <c r="O900" s="352"/>
      <c r="P900" s="352"/>
      <c r="Q900" s="352"/>
      <c r="R900" s="352"/>
      <c r="S900" s="352"/>
      <c r="T900" s="352"/>
      <c r="U900" s="352"/>
      <c r="V900" s="352"/>
    </row>
    <row r="901" spans="1:22" ht="26.25" hidden="1" customHeight="1" x14ac:dyDescent="0.2">
      <c r="A901" s="352"/>
      <c r="B901" s="352"/>
      <c r="C901" s="352"/>
      <c r="D901" s="352"/>
      <c r="E901" s="352"/>
      <c r="F901" s="352"/>
      <c r="G901" s="352"/>
      <c r="H901" s="352"/>
      <c r="I901" s="352"/>
      <c r="J901" s="352"/>
      <c r="K901" s="352"/>
      <c r="L901" s="352"/>
      <c r="M901" s="352"/>
      <c r="N901" s="352"/>
      <c r="O901" s="352"/>
      <c r="P901" s="352"/>
      <c r="Q901" s="352"/>
      <c r="R901" s="352"/>
      <c r="S901" s="352"/>
      <c r="T901" s="352"/>
      <c r="U901" s="352"/>
      <c r="V901" s="352"/>
    </row>
    <row r="902" spans="1:22" ht="26.25" hidden="1" customHeight="1" x14ac:dyDescent="0.2">
      <c r="A902" s="352"/>
      <c r="B902" s="352"/>
      <c r="C902" s="352"/>
      <c r="D902" s="352"/>
      <c r="E902" s="352"/>
      <c r="F902" s="352"/>
      <c r="G902" s="352"/>
      <c r="H902" s="352"/>
      <c r="I902" s="352"/>
      <c r="J902" s="352"/>
      <c r="K902" s="352"/>
      <c r="L902" s="352"/>
      <c r="M902" s="352"/>
      <c r="N902" s="352"/>
      <c r="O902" s="352"/>
      <c r="P902" s="352"/>
      <c r="Q902" s="352"/>
      <c r="R902" s="352"/>
      <c r="S902" s="352"/>
      <c r="T902" s="352"/>
      <c r="U902" s="352"/>
      <c r="V902" s="352"/>
    </row>
    <row r="903" spans="1:22" ht="26.25" hidden="1" customHeight="1" x14ac:dyDescent="0.2">
      <c r="A903" s="352"/>
      <c r="B903" s="352"/>
      <c r="C903" s="352"/>
      <c r="D903" s="352"/>
      <c r="E903" s="352"/>
      <c r="F903" s="352"/>
      <c r="G903" s="352"/>
      <c r="H903" s="352"/>
      <c r="I903" s="352"/>
      <c r="J903" s="352"/>
      <c r="K903" s="352"/>
      <c r="L903" s="352"/>
      <c r="M903" s="352"/>
      <c r="N903" s="352"/>
      <c r="O903" s="352"/>
      <c r="P903" s="352"/>
      <c r="Q903" s="352"/>
      <c r="R903" s="352"/>
      <c r="S903" s="352"/>
      <c r="T903" s="352"/>
      <c r="U903" s="352"/>
      <c r="V903" s="352"/>
    </row>
    <row r="904" spans="1:22" ht="26.25" hidden="1" customHeight="1" x14ac:dyDescent="0.2">
      <c r="A904" s="352"/>
      <c r="B904" s="352"/>
      <c r="C904" s="352"/>
      <c r="D904" s="352"/>
      <c r="E904" s="352"/>
      <c r="F904" s="352"/>
      <c r="G904" s="352"/>
      <c r="H904" s="352"/>
      <c r="I904" s="352"/>
      <c r="J904" s="352"/>
      <c r="K904" s="352"/>
      <c r="L904" s="352"/>
      <c r="M904" s="352"/>
      <c r="N904" s="352"/>
      <c r="O904" s="352"/>
      <c r="P904" s="352"/>
      <c r="Q904" s="352"/>
      <c r="R904" s="352"/>
      <c r="S904" s="352"/>
      <c r="T904" s="352"/>
      <c r="U904" s="352"/>
      <c r="V904" s="352"/>
    </row>
    <row r="905" spans="1:22" ht="26.25" hidden="1" customHeight="1" x14ac:dyDescent="0.2">
      <c r="A905" s="352"/>
      <c r="B905" s="352"/>
      <c r="C905" s="352"/>
      <c r="D905" s="352"/>
      <c r="E905" s="352"/>
      <c r="F905" s="352"/>
      <c r="G905" s="352"/>
      <c r="H905" s="352"/>
      <c r="I905" s="352"/>
      <c r="J905" s="352"/>
      <c r="K905" s="352"/>
      <c r="L905" s="352"/>
      <c r="M905" s="352"/>
      <c r="N905" s="352"/>
      <c r="O905" s="352"/>
      <c r="P905" s="352"/>
      <c r="Q905" s="352"/>
      <c r="R905" s="352"/>
      <c r="S905" s="352"/>
      <c r="T905" s="352"/>
      <c r="U905" s="352"/>
      <c r="V905" s="352"/>
    </row>
    <row r="906" spans="1:22" ht="26.25" hidden="1" customHeight="1" x14ac:dyDescent="0.2">
      <c r="A906" s="352"/>
      <c r="B906" s="352"/>
      <c r="C906" s="352"/>
      <c r="D906" s="352"/>
      <c r="E906" s="352"/>
      <c r="F906" s="352"/>
      <c r="G906" s="352"/>
      <c r="H906" s="352"/>
      <c r="I906" s="352"/>
      <c r="J906" s="352"/>
      <c r="K906" s="352"/>
      <c r="L906" s="352"/>
      <c r="M906" s="352"/>
      <c r="N906" s="352"/>
      <c r="O906" s="352"/>
      <c r="P906" s="352"/>
      <c r="Q906" s="352"/>
      <c r="R906" s="352"/>
      <c r="S906" s="352"/>
      <c r="T906" s="352"/>
      <c r="U906" s="352"/>
      <c r="V906" s="352"/>
    </row>
    <row r="907" spans="1:22" ht="26.25" hidden="1" customHeight="1" x14ac:dyDescent="0.2">
      <c r="A907" s="352"/>
      <c r="B907" s="352"/>
      <c r="C907" s="352"/>
      <c r="D907" s="352"/>
      <c r="E907" s="352"/>
      <c r="F907" s="352"/>
      <c r="G907" s="352"/>
      <c r="H907" s="352"/>
      <c r="I907" s="352"/>
      <c r="J907" s="352"/>
      <c r="K907" s="352"/>
      <c r="L907" s="352"/>
      <c r="M907" s="352"/>
      <c r="N907" s="352"/>
      <c r="O907" s="352"/>
      <c r="P907" s="352"/>
      <c r="Q907" s="352"/>
      <c r="R907" s="352"/>
      <c r="S907" s="352"/>
      <c r="T907" s="352"/>
      <c r="U907" s="352"/>
      <c r="V907" s="352"/>
    </row>
    <row r="908" spans="1:22" ht="26.25" hidden="1" customHeight="1" x14ac:dyDescent="0.2">
      <c r="A908" s="352"/>
      <c r="B908" s="352"/>
      <c r="C908" s="352"/>
      <c r="D908" s="352"/>
      <c r="E908" s="352"/>
      <c r="F908" s="352"/>
      <c r="G908" s="352"/>
      <c r="H908" s="352"/>
      <c r="I908" s="352"/>
      <c r="J908" s="352"/>
      <c r="K908" s="352"/>
      <c r="L908" s="352"/>
      <c r="M908" s="352"/>
      <c r="N908" s="352"/>
      <c r="O908" s="352"/>
      <c r="P908" s="352"/>
      <c r="Q908" s="352"/>
      <c r="R908" s="352"/>
      <c r="S908" s="352"/>
      <c r="T908" s="352"/>
      <c r="U908" s="352"/>
      <c r="V908" s="352"/>
    </row>
    <row r="909" spans="1:22" ht="26.25" hidden="1" customHeight="1" x14ac:dyDescent="0.2">
      <c r="A909" s="352"/>
      <c r="B909" s="352"/>
      <c r="C909" s="352"/>
      <c r="D909" s="352"/>
      <c r="E909" s="352"/>
      <c r="F909" s="352"/>
      <c r="G909" s="352"/>
      <c r="H909" s="352"/>
      <c r="I909" s="352"/>
      <c r="J909" s="352"/>
      <c r="K909" s="352"/>
      <c r="L909" s="352"/>
      <c r="M909" s="352"/>
      <c r="N909" s="352"/>
      <c r="O909" s="352"/>
      <c r="P909" s="352"/>
      <c r="Q909" s="352"/>
      <c r="R909" s="352"/>
      <c r="S909" s="352"/>
      <c r="T909" s="352"/>
      <c r="U909" s="352"/>
      <c r="V909" s="352"/>
    </row>
    <row r="910" spans="1:22" ht="26.25" hidden="1" customHeight="1" x14ac:dyDescent="0.2">
      <c r="A910" s="352"/>
      <c r="B910" s="352"/>
      <c r="C910" s="352"/>
      <c r="D910" s="352"/>
      <c r="E910" s="352"/>
      <c r="F910" s="352"/>
      <c r="G910" s="352"/>
      <c r="H910" s="352"/>
      <c r="I910" s="352"/>
      <c r="J910" s="352"/>
      <c r="K910" s="352"/>
      <c r="L910" s="352"/>
      <c r="M910" s="352"/>
      <c r="N910" s="352"/>
      <c r="O910" s="352"/>
      <c r="P910" s="352"/>
      <c r="Q910" s="352"/>
      <c r="R910" s="352"/>
      <c r="S910" s="352"/>
      <c r="T910" s="352"/>
      <c r="U910" s="352"/>
      <c r="V910" s="352"/>
    </row>
    <row r="911" spans="1:22" ht="26.25" hidden="1" customHeight="1" x14ac:dyDescent="0.2">
      <c r="A911" s="352"/>
      <c r="B911" s="352"/>
      <c r="C911" s="352"/>
      <c r="D911" s="352"/>
      <c r="E911" s="352"/>
      <c r="F911" s="352"/>
      <c r="G911" s="352"/>
      <c r="H911" s="352"/>
      <c r="I911" s="352"/>
      <c r="J911" s="352"/>
      <c r="K911" s="352"/>
      <c r="L911" s="352"/>
      <c r="M911" s="352"/>
      <c r="N911" s="352"/>
      <c r="O911" s="352"/>
      <c r="P911" s="352"/>
      <c r="Q911" s="352"/>
      <c r="R911" s="352"/>
      <c r="S911" s="352"/>
      <c r="T911" s="352"/>
      <c r="U911" s="352"/>
      <c r="V911" s="352"/>
    </row>
    <row r="912" spans="1:22" ht="26.25" hidden="1" customHeight="1" x14ac:dyDescent="0.2">
      <c r="A912" s="352"/>
      <c r="B912" s="352"/>
      <c r="C912" s="352"/>
      <c r="D912" s="352"/>
      <c r="E912" s="352"/>
      <c r="F912" s="352"/>
      <c r="G912" s="352"/>
      <c r="H912" s="352"/>
      <c r="I912" s="352"/>
      <c r="J912" s="352"/>
      <c r="K912" s="352"/>
      <c r="L912" s="352"/>
      <c r="M912" s="352"/>
      <c r="N912" s="352"/>
      <c r="O912" s="352"/>
      <c r="P912" s="352"/>
      <c r="Q912" s="352"/>
      <c r="R912" s="352"/>
      <c r="S912" s="352"/>
      <c r="T912" s="352"/>
      <c r="U912" s="352"/>
      <c r="V912" s="352"/>
    </row>
    <row r="913" spans="1:22" ht="26.25" hidden="1" customHeight="1" x14ac:dyDescent="0.2">
      <c r="A913" s="352"/>
      <c r="B913" s="352"/>
      <c r="C913" s="352"/>
      <c r="D913" s="352"/>
      <c r="E913" s="352"/>
      <c r="F913" s="352"/>
      <c r="G913" s="352"/>
      <c r="H913" s="352"/>
      <c r="I913" s="352"/>
      <c r="J913" s="352"/>
      <c r="K913" s="352"/>
      <c r="L913" s="352"/>
      <c r="M913" s="352"/>
      <c r="N913" s="352"/>
      <c r="O913" s="352"/>
      <c r="P913" s="352"/>
      <c r="Q913" s="352"/>
      <c r="R913" s="352"/>
      <c r="S913" s="352"/>
      <c r="T913" s="352"/>
      <c r="U913" s="352"/>
      <c r="V913" s="352"/>
    </row>
    <row r="914" spans="1:22" ht="26.25" hidden="1" customHeight="1" x14ac:dyDescent="0.2">
      <c r="A914" s="352"/>
      <c r="B914" s="352"/>
      <c r="C914" s="352"/>
      <c r="D914" s="352"/>
      <c r="E914" s="352"/>
      <c r="F914" s="352"/>
      <c r="G914" s="352"/>
      <c r="H914" s="352"/>
      <c r="I914" s="352"/>
      <c r="J914" s="352"/>
      <c r="K914" s="352"/>
      <c r="L914" s="352"/>
      <c r="M914" s="352"/>
      <c r="N914" s="352"/>
      <c r="O914" s="352"/>
      <c r="P914" s="352"/>
      <c r="Q914" s="352"/>
      <c r="R914" s="352"/>
      <c r="S914" s="352"/>
      <c r="T914" s="352"/>
      <c r="U914" s="352"/>
      <c r="V914" s="352"/>
    </row>
    <row r="915" spans="1:22" ht="26.25" hidden="1" customHeight="1" x14ac:dyDescent="0.2">
      <c r="A915" s="352"/>
      <c r="B915" s="352"/>
      <c r="C915" s="352"/>
      <c r="D915" s="352"/>
      <c r="E915" s="352"/>
      <c r="F915" s="352"/>
      <c r="G915" s="352"/>
      <c r="H915" s="352"/>
      <c r="I915" s="352"/>
      <c r="J915" s="352"/>
      <c r="K915" s="352"/>
      <c r="L915" s="352"/>
      <c r="M915" s="352"/>
      <c r="N915" s="352"/>
      <c r="O915" s="352"/>
      <c r="P915" s="352"/>
      <c r="Q915" s="352"/>
      <c r="R915" s="352"/>
      <c r="S915" s="352"/>
      <c r="T915" s="352"/>
      <c r="U915" s="352"/>
      <c r="V915" s="352"/>
    </row>
    <row r="916" spans="1:22" ht="26.25" hidden="1" customHeight="1" x14ac:dyDescent="0.2">
      <c r="A916" s="352"/>
      <c r="B916" s="352"/>
      <c r="C916" s="352"/>
      <c r="D916" s="352"/>
      <c r="E916" s="352"/>
      <c r="F916" s="352"/>
      <c r="G916" s="352"/>
      <c r="H916" s="352"/>
      <c r="I916" s="352"/>
      <c r="J916" s="352"/>
      <c r="K916" s="352"/>
      <c r="L916" s="352"/>
      <c r="M916" s="352"/>
      <c r="N916" s="352"/>
      <c r="O916" s="352"/>
      <c r="P916" s="352"/>
      <c r="Q916" s="352"/>
      <c r="R916" s="352"/>
      <c r="S916" s="352"/>
      <c r="T916" s="352"/>
      <c r="U916" s="352"/>
      <c r="V916" s="352"/>
    </row>
    <row r="917" spans="1:22" ht="26.25" hidden="1" customHeight="1" x14ac:dyDescent="0.2">
      <c r="A917" s="352"/>
      <c r="B917" s="352"/>
      <c r="C917" s="352"/>
      <c r="D917" s="352"/>
      <c r="E917" s="352"/>
      <c r="F917" s="352"/>
      <c r="G917" s="352"/>
      <c r="H917" s="352"/>
      <c r="I917" s="352"/>
      <c r="J917" s="352"/>
      <c r="K917" s="352"/>
      <c r="L917" s="352"/>
      <c r="M917" s="352"/>
      <c r="N917" s="352"/>
      <c r="O917" s="352"/>
      <c r="P917" s="352"/>
      <c r="Q917" s="352"/>
      <c r="R917" s="352"/>
      <c r="S917" s="352"/>
      <c r="T917" s="352"/>
      <c r="U917" s="352"/>
      <c r="V917" s="352"/>
    </row>
    <row r="918" spans="1:22" ht="26.25" hidden="1" customHeight="1" x14ac:dyDescent="0.2">
      <c r="A918" s="352"/>
      <c r="B918" s="352"/>
      <c r="C918" s="352"/>
      <c r="D918" s="352"/>
      <c r="E918" s="352"/>
      <c r="F918" s="352"/>
      <c r="G918" s="352"/>
      <c r="H918" s="352"/>
      <c r="I918" s="352"/>
      <c r="J918" s="352"/>
      <c r="K918" s="352"/>
      <c r="L918" s="352"/>
      <c r="M918" s="352"/>
      <c r="N918" s="352"/>
      <c r="O918" s="352"/>
      <c r="P918" s="352"/>
      <c r="Q918" s="352"/>
      <c r="R918" s="352"/>
      <c r="S918" s="352"/>
      <c r="T918" s="352"/>
      <c r="U918" s="352"/>
      <c r="V918" s="352"/>
    </row>
    <row r="919" spans="1:22" ht="26.25" hidden="1" customHeight="1" x14ac:dyDescent="0.2">
      <c r="A919" s="352"/>
      <c r="B919" s="352"/>
      <c r="C919" s="352"/>
      <c r="D919" s="352"/>
      <c r="E919" s="352"/>
      <c r="F919" s="352"/>
      <c r="G919" s="352"/>
      <c r="H919" s="352"/>
      <c r="I919" s="352"/>
      <c r="J919" s="352"/>
      <c r="K919" s="352"/>
      <c r="L919" s="352"/>
      <c r="M919" s="352"/>
      <c r="N919" s="352"/>
      <c r="O919" s="352"/>
      <c r="P919" s="352"/>
      <c r="Q919" s="352"/>
      <c r="R919" s="352"/>
      <c r="S919" s="352"/>
      <c r="T919" s="352"/>
      <c r="U919" s="352"/>
      <c r="V919" s="352"/>
    </row>
    <row r="920" spans="1:22" ht="26.25" hidden="1" customHeight="1" x14ac:dyDescent="0.2">
      <c r="A920" s="352"/>
      <c r="B920" s="352"/>
      <c r="C920" s="352"/>
      <c r="D920" s="352"/>
      <c r="E920" s="352"/>
      <c r="F920" s="352"/>
      <c r="G920" s="352"/>
      <c r="H920" s="352"/>
      <c r="I920" s="352"/>
      <c r="J920" s="352"/>
      <c r="K920" s="352"/>
      <c r="L920" s="352"/>
      <c r="M920" s="352"/>
      <c r="N920" s="352"/>
      <c r="O920" s="352"/>
      <c r="P920" s="352"/>
      <c r="Q920" s="352"/>
      <c r="R920" s="352"/>
      <c r="S920" s="352"/>
      <c r="T920" s="352"/>
      <c r="U920" s="352"/>
      <c r="V920" s="352"/>
    </row>
    <row r="921" spans="1:22" ht="26.25" hidden="1" customHeight="1" x14ac:dyDescent="0.2">
      <c r="A921" s="352"/>
      <c r="B921" s="352"/>
      <c r="C921" s="352"/>
      <c r="D921" s="352"/>
      <c r="E921" s="352"/>
      <c r="F921" s="352"/>
      <c r="G921" s="352"/>
      <c r="H921" s="352"/>
      <c r="I921" s="352"/>
      <c r="J921" s="352"/>
      <c r="K921" s="352"/>
      <c r="L921" s="352"/>
      <c r="M921" s="352"/>
      <c r="N921" s="352"/>
      <c r="O921" s="352"/>
      <c r="P921" s="352"/>
      <c r="Q921" s="352"/>
      <c r="R921" s="352"/>
      <c r="S921" s="352"/>
      <c r="T921" s="352"/>
      <c r="U921" s="352"/>
      <c r="V921" s="352"/>
    </row>
    <row r="922" spans="1:22" ht="26.25" hidden="1" customHeight="1" x14ac:dyDescent="0.2">
      <c r="A922" s="352"/>
      <c r="B922" s="352"/>
      <c r="C922" s="352"/>
      <c r="D922" s="352"/>
      <c r="E922" s="352"/>
      <c r="F922" s="352"/>
      <c r="G922" s="352"/>
      <c r="H922" s="352"/>
      <c r="I922" s="352"/>
      <c r="J922" s="352"/>
      <c r="K922" s="352"/>
      <c r="L922" s="352"/>
      <c r="M922" s="352"/>
      <c r="N922" s="352"/>
      <c r="O922" s="352"/>
      <c r="P922" s="352"/>
      <c r="Q922" s="352"/>
      <c r="R922" s="352"/>
      <c r="S922" s="352"/>
      <c r="T922" s="352"/>
      <c r="U922" s="352"/>
      <c r="V922" s="352"/>
    </row>
    <row r="923" spans="1:22" ht="26.25" hidden="1" customHeight="1" x14ac:dyDescent="0.2">
      <c r="A923" s="352"/>
      <c r="B923" s="352"/>
      <c r="C923" s="352"/>
      <c r="D923" s="352"/>
      <c r="E923" s="352"/>
      <c r="F923" s="352"/>
      <c r="G923" s="352"/>
      <c r="H923" s="352"/>
      <c r="I923" s="352"/>
      <c r="J923" s="352"/>
      <c r="K923" s="352"/>
      <c r="L923" s="352"/>
      <c r="M923" s="352"/>
      <c r="N923" s="352"/>
      <c r="O923" s="352"/>
      <c r="P923" s="352"/>
      <c r="Q923" s="352"/>
      <c r="R923" s="352"/>
      <c r="S923" s="352"/>
      <c r="T923" s="352"/>
      <c r="U923" s="352"/>
      <c r="V923" s="352"/>
    </row>
    <row r="924" spans="1:22" ht="26.25" hidden="1" customHeight="1" x14ac:dyDescent="0.2">
      <c r="A924" s="352"/>
      <c r="B924" s="352"/>
      <c r="C924" s="352"/>
      <c r="D924" s="352"/>
      <c r="E924" s="352"/>
      <c r="F924" s="352"/>
      <c r="G924" s="352"/>
      <c r="H924" s="352"/>
      <c r="I924" s="352"/>
      <c r="J924" s="352"/>
      <c r="K924" s="352"/>
      <c r="L924" s="352"/>
      <c r="M924" s="352"/>
      <c r="N924" s="352"/>
      <c r="O924" s="352"/>
      <c r="P924" s="352"/>
      <c r="Q924" s="352"/>
      <c r="R924" s="352"/>
      <c r="S924" s="352"/>
      <c r="T924" s="352"/>
      <c r="U924" s="352"/>
      <c r="V924" s="352"/>
    </row>
    <row r="925" spans="1:22" ht="26.25" hidden="1" customHeight="1" x14ac:dyDescent="0.2">
      <c r="A925" s="352"/>
      <c r="B925" s="352"/>
      <c r="C925" s="352"/>
      <c r="D925" s="352"/>
      <c r="E925" s="352"/>
      <c r="F925" s="352"/>
      <c r="G925" s="352"/>
      <c r="H925" s="352"/>
      <c r="I925" s="352"/>
      <c r="J925" s="352"/>
      <c r="K925" s="352"/>
      <c r="L925" s="352"/>
      <c r="M925" s="352"/>
      <c r="N925" s="352"/>
      <c r="O925" s="352"/>
      <c r="P925" s="352"/>
      <c r="Q925" s="352"/>
      <c r="R925" s="352"/>
      <c r="S925" s="352"/>
      <c r="T925" s="352"/>
      <c r="U925" s="352"/>
      <c r="V925" s="352"/>
    </row>
    <row r="926" spans="1:22" ht="26.25" hidden="1" customHeight="1" x14ac:dyDescent="0.2">
      <c r="A926" s="352"/>
      <c r="B926" s="352"/>
      <c r="C926" s="352"/>
      <c r="D926" s="352"/>
      <c r="E926" s="352"/>
      <c r="F926" s="352"/>
      <c r="G926" s="352"/>
      <c r="H926" s="352"/>
      <c r="I926" s="352"/>
      <c r="J926" s="352"/>
      <c r="K926" s="352"/>
      <c r="L926" s="352"/>
      <c r="M926" s="352"/>
      <c r="N926" s="352"/>
      <c r="O926" s="352"/>
      <c r="P926" s="352"/>
      <c r="Q926" s="352"/>
      <c r="R926" s="352"/>
      <c r="S926" s="352"/>
      <c r="T926" s="352"/>
      <c r="U926" s="352"/>
      <c r="V926" s="352"/>
    </row>
    <row r="927" spans="1:22" ht="26.25" hidden="1" customHeight="1" x14ac:dyDescent="0.2">
      <c r="A927" s="352"/>
      <c r="B927" s="352"/>
      <c r="C927" s="352"/>
      <c r="D927" s="352"/>
      <c r="E927" s="352"/>
      <c r="F927" s="352"/>
      <c r="G927" s="352"/>
      <c r="H927" s="352"/>
      <c r="I927" s="352"/>
      <c r="J927" s="352"/>
      <c r="K927" s="352"/>
      <c r="L927" s="352"/>
      <c r="M927" s="352"/>
      <c r="N927" s="352"/>
      <c r="O927" s="352"/>
      <c r="P927" s="352"/>
      <c r="Q927" s="352"/>
      <c r="R927" s="352"/>
      <c r="S927" s="352"/>
      <c r="T927" s="352"/>
      <c r="U927" s="352"/>
      <c r="V927" s="352"/>
    </row>
    <row r="928" spans="1:22" ht="26.25" hidden="1" customHeight="1" x14ac:dyDescent="0.2">
      <c r="A928" s="352"/>
      <c r="B928" s="352"/>
      <c r="C928" s="352"/>
      <c r="D928" s="352"/>
      <c r="E928" s="352"/>
      <c r="F928" s="352"/>
      <c r="G928" s="352"/>
      <c r="H928" s="352"/>
      <c r="I928" s="352"/>
      <c r="J928" s="352"/>
      <c r="K928" s="352"/>
      <c r="L928" s="352"/>
      <c r="M928" s="352"/>
      <c r="N928" s="352"/>
      <c r="O928" s="352"/>
      <c r="P928" s="352"/>
      <c r="Q928" s="352"/>
      <c r="R928" s="352"/>
      <c r="S928" s="352"/>
      <c r="T928" s="352"/>
      <c r="U928" s="352"/>
      <c r="V928" s="352"/>
    </row>
    <row r="929" spans="1:22" ht="26.25" hidden="1" customHeight="1" x14ac:dyDescent="0.2">
      <c r="A929" s="352"/>
      <c r="B929" s="352"/>
      <c r="C929" s="352"/>
      <c r="D929" s="352"/>
      <c r="E929" s="352"/>
      <c r="F929" s="352"/>
      <c r="G929" s="352"/>
      <c r="H929" s="352"/>
      <c r="I929" s="352"/>
      <c r="J929" s="352"/>
      <c r="K929" s="352"/>
      <c r="L929" s="352"/>
      <c r="M929" s="352"/>
      <c r="N929" s="352"/>
      <c r="O929" s="352"/>
      <c r="P929" s="352"/>
      <c r="Q929" s="352"/>
      <c r="R929" s="352"/>
      <c r="S929" s="352"/>
      <c r="T929" s="352"/>
      <c r="U929" s="352"/>
      <c r="V929" s="352"/>
    </row>
    <row r="930" spans="1:22" ht="26.25" hidden="1" customHeight="1" x14ac:dyDescent="0.2">
      <c r="A930" s="352"/>
      <c r="B930" s="352"/>
      <c r="C930" s="352"/>
      <c r="D930" s="352"/>
      <c r="E930" s="352"/>
      <c r="F930" s="352"/>
      <c r="G930" s="352"/>
      <c r="H930" s="352"/>
      <c r="I930" s="352"/>
      <c r="J930" s="352"/>
      <c r="K930" s="352"/>
      <c r="L930" s="352"/>
      <c r="M930" s="352"/>
      <c r="N930" s="352"/>
      <c r="O930" s="352"/>
      <c r="P930" s="352"/>
      <c r="Q930" s="352"/>
      <c r="R930" s="352"/>
      <c r="S930" s="352"/>
      <c r="T930" s="352"/>
      <c r="U930" s="352"/>
      <c r="V930" s="352"/>
    </row>
    <row r="931" spans="1:22" ht="26.25" hidden="1" customHeight="1" x14ac:dyDescent="0.2">
      <c r="A931" s="352"/>
      <c r="B931" s="352"/>
      <c r="C931" s="352"/>
      <c r="D931" s="352"/>
      <c r="E931" s="352"/>
      <c r="F931" s="352"/>
      <c r="G931" s="352"/>
      <c r="H931" s="352"/>
      <c r="I931" s="352"/>
      <c r="J931" s="352"/>
      <c r="K931" s="352"/>
      <c r="L931" s="352"/>
      <c r="M931" s="352"/>
      <c r="N931" s="352"/>
      <c r="O931" s="352"/>
      <c r="P931" s="352"/>
      <c r="Q931" s="352"/>
      <c r="R931" s="352"/>
      <c r="S931" s="352"/>
      <c r="T931" s="352"/>
      <c r="U931" s="352"/>
      <c r="V931" s="352"/>
    </row>
    <row r="932" spans="1:22" ht="26.25" hidden="1" customHeight="1" x14ac:dyDescent="0.2">
      <c r="A932" s="352"/>
      <c r="B932" s="352"/>
      <c r="C932" s="352"/>
      <c r="D932" s="352"/>
      <c r="E932" s="352"/>
      <c r="F932" s="352"/>
      <c r="G932" s="352"/>
      <c r="H932" s="352"/>
      <c r="I932" s="352"/>
      <c r="J932" s="352"/>
      <c r="K932" s="352"/>
      <c r="L932" s="352"/>
      <c r="M932" s="352"/>
      <c r="N932" s="352"/>
      <c r="O932" s="352"/>
      <c r="P932" s="352"/>
      <c r="Q932" s="352"/>
      <c r="R932" s="352"/>
      <c r="S932" s="352"/>
      <c r="T932" s="352"/>
      <c r="U932" s="352"/>
      <c r="V932" s="352"/>
    </row>
    <row r="933" spans="1:22" ht="26.25" hidden="1" customHeight="1" x14ac:dyDescent="0.2">
      <c r="A933" s="352"/>
      <c r="B933" s="352"/>
      <c r="C933" s="352"/>
      <c r="D933" s="352"/>
      <c r="E933" s="352"/>
      <c r="F933" s="352"/>
      <c r="G933" s="352"/>
      <c r="H933" s="352"/>
      <c r="I933" s="352"/>
      <c r="J933" s="352"/>
      <c r="K933" s="352"/>
      <c r="L933" s="352"/>
      <c r="M933" s="352"/>
      <c r="N933" s="352"/>
      <c r="O933" s="352"/>
      <c r="P933" s="352"/>
      <c r="Q933" s="352"/>
      <c r="R933" s="352"/>
      <c r="S933" s="352"/>
      <c r="T933" s="352"/>
      <c r="U933" s="352"/>
      <c r="V933" s="352"/>
    </row>
    <row r="934" spans="1:22" ht="26.25" hidden="1" customHeight="1" x14ac:dyDescent="0.2">
      <c r="A934" s="352"/>
      <c r="B934" s="352"/>
      <c r="C934" s="352"/>
      <c r="D934" s="352"/>
      <c r="E934" s="352"/>
      <c r="F934" s="352"/>
      <c r="G934" s="352"/>
      <c r="H934" s="352"/>
      <c r="I934" s="352"/>
      <c r="J934" s="352"/>
      <c r="K934" s="352"/>
      <c r="L934" s="352"/>
      <c r="M934" s="352"/>
      <c r="N934" s="352"/>
      <c r="O934" s="352"/>
      <c r="P934" s="352"/>
      <c r="Q934" s="352"/>
      <c r="R934" s="352"/>
      <c r="S934" s="352"/>
      <c r="T934" s="352"/>
      <c r="U934" s="352"/>
      <c r="V934" s="352"/>
    </row>
    <row r="935" spans="1:22" ht="26.25" hidden="1" customHeight="1" x14ac:dyDescent="0.2">
      <c r="A935" s="352"/>
      <c r="B935" s="352"/>
      <c r="C935" s="352"/>
      <c r="D935" s="352"/>
      <c r="E935" s="352"/>
      <c r="F935" s="352"/>
      <c r="G935" s="352"/>
      <c r="H935" s="352"/>
      <c r="I935" s="352"/>
      <c r="J935" s="352"/>
      <c r="K935" s="352"/>
      <c r="L935" s="352"/>
      <c r="M935" s="352"/>
      <c r="N935" s="352"/>
      <c r="O935" s="352"/>
      <c r="P935" s="352"/>
      <c r="Q935" s="352"/>
      <c r="R935" s="352"/>
      <c r="S935" s="352"/>
      <c r="T935" s="352"/>
      <c r="U935" s="352"/>
      <c r="V935" s="352"/>
    </row>
    <row r="936" spans="1:22" ht="26.25" hidden="1" customHeight="1" x14ac:dyDescent="0.2">
      <c r="A936" s="352"/>
      <c r="B936" s="352"/>
      <c r="C936" s="352"/>
      <c r="D936" s="352"/>
      <c r="E936" s="352"/>
      <c r="F936" s="352"/>
      <c r="G936" s="352"/>
      <c r="H936" s="352"/>
      <c r="I936" s="352"/>
      <c r="J936" s="352"/>
      <c r="K936" s="352"/>
      <c r="L936" s="352"/>
      <c r="M936" s="352"/>
      <c r="N936" s="352"/>
      <c r="O936" s="352"/>
      <c r="P936" s="352"/>
      <c r="Q936" s="352"/>
      <c r="R936" s="352"/>
      <c r="S936" s="352"/>
      <c r="T936" s="352"/>
      <c r="U936" s="352"/>
      <c r="V936" s="352"/>
    </row>
    <row r="937" spans="1:22" ht="26.25" hidden="1" customHeight="1" x14ac:dyDescent="0.2">
      <c r="A937" s="352"/>
      <c r="B937" s="352"/>
      <c r="C937" s="352"/>
      <c r="D937" s="352"/>
      <c r="E937" s="352"/>
      <c r="F937" s="352"/>
      <c r="G937" s="352"/>
      <c r="H937" s="352"/>
      <c r="I937" s="352"/>
      <c r="J937" s="352"/>
      <c r="K937" s="352"/>
      <c r="L937" s="352"/>
      <c r="M937" s="352"/>
      <c r="N937" s="352"/>
      <c r="O937" s="352"/>
      <c r="P937" s="352"/>
      <c r="Q937" s="352"/>
      <c r="R937" s="352"/>
      <c r="S937" s="352"/>
      <c r="T937" s="352"/>
      <c r="U937" s="352"/>
      <c r="V937" s="352"/>
    </row>
    <row r="938" spans="1:22" ht="26.25" hidden="1" customHeight="1" x14ac:dyDescent="0.2">
      <c r="A938" s="352"/>
      <c r="B938" s="352"/>
      <c r="C938" s="352"/>
      <c r="D938" s="352"/>
      <c r="E938" s="352"/>
      <c r="F938" s="352"/>
      <c r="G938" s="352"/>
      <c r="H938" s="352"/>
      <c r="I938" s="352"/>
      <c r="J938" s="352"/>
      <c r="K938" s="352"/>
      <c r="L938" s="352"/>
      <c r="M938" s="352"/>
      <c r="N938" s="352"/>
      <c r="O938" s="352"/>
      <c r="P938" s="352"/>
      <c r="Q938" s="352"/>
      <c r="R938" s="352"/>
      <c r="S938" s="352"/>
      <c r="T938" s="352"/>
      <c r="U938" s="352"/>
      <c r="V938" s="352"/>
    </row>
    <row r="939" spans="1:22" ht="26.25" hidden="1" customHeight="1" x14ac:dyDescent="0.2">
      <c r="A939" s="352"/>
      <c r="B939" s="352"/>
      <c r="C939" s="352"/>
      <c r="D939" s="352"/>
      <c r="E939" s="352"/>
      <c r="F939" s="352"/>
      <c r="G939" s="352"/>
      <c r="H939" s="352"/>
      <c r="I939" s="352"/>
      <c r="J939" s="352"/>
      <c r="K939" s="352"/>
      <c r="L939" s="352"/>
      <c r="M939" s="352"/>
      <c r="N939" s="352"/>
      <c r="O939" s="352"/>
      <c r="P939" s="352"/>
      <c r="Q939" s="352"/>
      <c r="R939" s="352"/>
      <c r="S939" s="352"/>
      <c r="T939" s="352"/>
      <c r="U939" s="352"/>
      <c r="V939" s="352"/>
    </row>
    <row r="940" spans="1:22" ht="26.25" hidden="1" customHeight="1" x14ac:dyDescent="0.2">
      <c r="A940" s="352"/>
      <c r="B940" s="352"/>
      <c r="C940" s="352"/>
      <c r="D940" s="352"/>
      <c r="E940" s="352"/>
      <c r="F940" s="352"/>
      <c r="G940" s="352"/>
      <c r="H940" s="352"/>
      <c r="I940" s="352"/>
      <c r="J940" s="352"/>
      <c r="K940" s="352"/>
      <c r="L940" s="352"/>
      <c r="M940" s="352"/>
      <c r="N940" s="352"/>
      <c r="O940" s="352"/>
      <c r="P940" s="352"/>
      <c r="Q940" s="352"/>
      <c r="R940" s="352"/>
      <c r="S940" s="352"/>
      <c r="T940" s="352"/>
      <c r="U940" s="352"/>
      <c r="V940" s="352"/>
    </row>
    <row r="941" spans="1:22" ht="26.25" hidden="1" customHeight="1" x14ac:dyDescent="0.2">
      <c r="A941" s="352"/>
      <c r="B941" s="352"/>
      <c r="C941" s="352"/>
      <c r="D941" s="352"/>
      <c r="E941" s="352"/>
      <c r="F941" s="352"/>
      <c r="G941" s="352"/>
      <c r="H941" s="352"/>
      <c r="I941" s="352"/>
      <c r="J941" s="352"/>
      <c r="K941" s="352"/>
      <c r="L941" s="352"/>
      <c r="M941" s="352"/>
      <c r="N941" s="352"/>
      <c r="O941" s="352"/>
      <c r="P941" s="352"/>
      <c r="Q941" s="352"/>
      <c r="R941" s="352"/>
      <c r="S941" s="352"/>
      <c r="T941" s="352"/>
      <c r="U941" s="352"/>
      <c r="V941" s="352"/>
    </row>
    <row r="942" spans="1:22" ht="26.25" hidden="1" customHeight="1" x14ac:dyDescent="0.2">
      <c r="A942" s="352"/>
      <c r="B942" s="352"/>
      <c r="C942" s="352"/>
      <c r="D942" s="352"/>
      <c r="E942" s="352"/>
      <c r="F942" s="352"/>
      <c r="G942" s="352"/>
      <c r="H942" s="352"/>
      <c r="I942" s="352"/>
      <c r="J942" s="352"/>
      <c r="K942" s="352"/>
      <c r="L942" s="352"/>
      <c r="M942" s="352"/>
      <c r="N942" s="352"/>
      <c r="O942" s="352"/>
      <c r="P942" s="352"/>
      <c r="Q942" s="352"/>
      <c r="R942" s="352"/>
      <c r="S942" s="352"/>
      <c r="T942" s="352"/>
      <c r="U942" s="352"/>
      <c r="V942" s="352"/>
    </row>
    <row r="943" spans="1:22" ht="26.25" hidden="1" customHeight="1" x14ac:dyDescent="0.2">
      <c r="A943" s="352"/>
      <c r="B943" s="352"/>
      <c r="C943" s="352"/>
      <c r="D943" s="352"/>
      <c r="E943" s="352"/>
      <c r="F943" s="352"/>
      <c r="G943" s="352"/>
      <c r="H943" s="352"/>
      <c r="I943" s="352"/>
      <c r="J943" s="352"/>
      <c r="K943" s="352"/>
      <c r="L943" s="352"/>
      <c r="M943" s="352"/>
      <c r="N943" s="352"/>
      <c r="O943" s="352"/>
      <c r="P943" s="352"/>
      <c r="Q943" s="352"/>
      <c r="R943" s="352"/>
      <c r="S943" s="352"/>
      <c r="T943" s="352"/>
      <c r="U943" s="352"/>
      <c r="V943" s="352"/>
    </row>
    <row r="944" spans="1:22" ht="26.25" hidden="1" customHeight="1" x14ac:dyDescent="0.2">
      <c r="A944" s="352"/>
      <c r="B944" s="352"/>
      <c r="C944" s="352"/>
      <c r="D944" s="352"/>
      <c r="E944" s="352"/>
      <c r="F944" s="352"/>
      <c r="G944" s="352"/>
      <c r="H944" s="352"/>
      <c r="I944" s="352"/>
      <c r="J944" s="352"/>
      <c r="K944" s="352"/>
      <c r="L944" s="352"/>
      <c r="M944" s="352"/>
      <c r="N944" s="352"/>
      <c r="O944" s="352"/>
      <c r="P944" s="352"/>
      <c r="Q944" s="352"/>
      <c r="R944" s="352"/>
      <c r="S944" s="352"/>
      <c r="T944" s="352"/>
      <c r="U944" s="352"/>
      <c r="V944" s="352"/>
    </row>
    <row r="945" spans="1:22" ht="26.25" hidden="1" customHeight="1" x14ac:dyDescent="0.2">
      <c r="A945" s="352"/>
      <c r="B945" s="352"/>
      <c r="C945" s="352"/>
      <c r="D945" s="352"/>
      <c r="E945" s="352"/>
      <c r="F945" s="352"/>
      <c r="G945" s="352"/>
      <c r="H945" s="352"/>
      <c r="I945" s="352"/>
      <c r="J945" s="352"/>
      <c r="K945" s="352"/>
      <c r="L945" s="352"/>
      <c r="M945" s="352"/>
      <c r="N945" s="352"/>
      <c r="O945" s="352"/>
      <c r="P945" s="352"/>
      <c r="Q945" s="352"/>
      <c r="R945" s="352"/>
      <c r="S945" s="352"/>
      <c r="T945" s="352"/>
      <c r="U945" s="352"/>
      <c r="V945" s="352"/>
    </row>
    <row r="946" spans="1:22" ht="26.25" hidden="1" customHeight="1" x14ac:dyDescent="0.2">
      <c r="A946" s="352"/>
      <c r="B946" s="352"/>
      <c r="C946" s="352"/>
      <c r="D946" s="352"/>
      <c r="E946" s="352"/>
      <c r="F946" s="352"/>
      <c r="G946" s="352"/>
      <c r="H946" s="352"/>
      <c r="I946" s="352"/>
      <c r="J946" s="352"/>
      <c r="K946" s="352"/>
      <c r="L946" s="352"/>
      <c r="M946" s="352"/>
      <c r="N946" s="352"/>
      <c r="O946" s="352"/>
      <c r="P946" s="352"/>
      <c r="Q946" s="352"/>
      <c r="R946" s="352"/>
      <c r="S946" s="352"/>
      <c r="T946" s="352"/>
      <c r="U946" s="352"/>
      <c r="V946" s="352"/>
    </row>
    <row r="947" spans="1:22" ht="26.25" hidden="1" customHeight="1" x14ac:dyDescent="0.2">
      <c r="A947" s="352"/>
      <c r="B947" s="352"/>
      <c r="C947" s="352"/>
      <c r="D947" s="352"/>
      <c r="E947" s="352"/>
      <c r="F947" s="352"/>
      <c r="G947" s="352"/>
      <c r="H947" s="352"/>
      <c r="I947" s="352"/>
      <c r="J947" s="352"/>
      <c r="K947" s="352"/>
      <c r="L947" s="352"/>
      <c r="M947" s="352"/>
      <c r="N947" s="352"/>
      <c r="O947" s="352"/>
      <c r="P947" s="352"/>
      <c r="Q947" s="352"/>
      <c r="R947" s="352"/>
      <c r="S947" s="352"/>
      <c r="T947" s="352"/>
      <c r="U947" s="352"/>
      <c r="V947" s="352"/>
    </row>
    <row r="948" spans="1:22" ht="26.25" hidden="1" customHeight="1" x14ac:dyDescent="0.2">
      <c r="A948" s="352"/>
      <c r="B948" s="352"/>
      <c r="C948" s="352"/>
      <c r="D948" s="352"/>
      <c r="E948" s="352"/>
      <c r="F948" s="352"/>
      <c r="G948" s="352"/>
      <c r="H948" s="352"/>
      <c r="I948" s="352"/>
      <c r="J948" s="352"/>
      <c r="K948" s="352"/>
      <c r="L948" s="352"/>
      <c r="M948" s="352"/>
      <c r="N948" s="352"/>
      <c r="O948" s="352"/>
      <c r="P948" s="352"/>
      <c r="Q948" s="352"/>
      <c r="R948" s="352"/>
      <c r="S948" s="352"/>
      <c r="T948" s="352"/>
      <c r="U948" s="352"/>
      <c r="V948" s="352"/>
    </row>
    <row r="949" spans="1:22" ht="26.25" hidden="1" customHeight="1" x14ac:dyDescent="0.2">
      <c r="A949" s="352"/>
      <c r="B949" s="352"/>
      <c r="C949" s="352"/>
      <c r="D949" s="352"/>
      <c r="E949" s="352"/>
      <c r="F949" s="352"/>
      <c r="G949" s="352"/>
      <c r="H949" s="352"/>
      <c r="I949" s="352"/>
      <c r="J949" s="352"/>
      <c r="K949" s="352"/>
      <c r="L949" s="352"/>
      <c r="M949" s="352"/>
      <c r="N949" s="352"/>
      <c r="O949" s="352"/>
      <c r="P949" s="352"/>
      <c r="Q949" s="352"/>
      <c r="R949" s="352"/>
      <c r="S949" s="352"/>
      <c r="T949" s="352"/>
      <c r="U949" s="352"/>
      <c r="V949" s="352"/>
    </row>
    <row r="950" spans="1:22" ht="26.25" hidden="1" customHeight="1" x14ac:dyDescent="0.2">
      <c r="A950" s="352"/>
      <c r="B950" s="352"/>
      <c r="C950" s="352"/>
      <c r="D950" s="352"/>
      <c r="E950" s="352"/>
      <c r="F950" s="352"/>
      <c r="G950" s="352"/>
      <c r="H950" s="352"/>
      <c r="I950" s="352"/>
      <c r="J950" s="352"/>
      <c r="K950" s="352"/>
      <c r="L950" s="352"/>
      <c r="M950" s="352"/>
      <c r="N950" s="352"/>
      <c r="O950" s="352"/>
      <c r="P950" s="352"/>
      <c r="Q950" s="352"/>
      <c r="R950" s="352"/>
      <c r="S950" s="352"/>
      <c r="T950" s="352"/>
      <c r="U950" s="352"/>
      <c r="V950" s="352"/>
    </row>
    <row r="951" spans="1:22" ht="26.25" hidden="1" customHeight="1" x14ac:dyDescent="0.2">
      <c r="A951" s="352"/>
      <c r="B951" s="352"/>
      <c r="C951" s="352"/>
      <c r="D951" s="352"/>
      <c r="E951" s="352"/>
      <c r="F951" s="352"/>
      <c r="G951" s="352"/>
      <c r="H951" s="352"/>
      <c r="I951" s="352"/>
      <c r="J951" s="352"/>
      <c r="K951" s="352"/>
      <c r="L951" s="352"/>
      <c r="M951" s="352"/>
      <c r="N951" s="352"/>
      <c r="O951" s="352"/>
      <c r="P951" s="352"/>
      <c r="Q951" s="352"/>
      <c r="R951" s="352"/>
      <c r="S951" s="352"/>
      <c r="T951" s="352"/>
      <c r="U951" s="352"/>
      <c r="V951" s="352"/>
    </row>
    <row r="952" spans="1:22" ht="26.25" hidden="1" customHeight="1" x14ac:dyDescent="0.2">
      <c r="A952" s="352"/>
      <c r="B952" s="352"/>
      <c r="C952" s="352"/>
      <c r="D952" s="352"/>
      <c r="E952" s="352"/>
      <c r="F952" s="352"/>
      <c r="G952" s="352"/>
      <c r="H952" s="352"/>
      <c r="I952" s="352"/>
      <c r="J952" s="352"/>
      <c r="K952" s="352"/>
      <c r="L952" s="352"/>
      <c r="M952" s="352"/>
      <c r="N952" s="352"/>
      <c r="O952" s="352"/>
      <c r="P952" s="352"/>
      <c r="Q952" s="352"/>
      <c r="R952" s="352"/>
      <c r="S952" s="352"/>
      <c r="T952" s="352"/>
      <c r="U952" s="352"/>
      <c r="V952" s="352"/>
    </row>
    <row r="953" spans="1:22" ht="26.25" hidden="1" customHeight="1" x14ac:dyDescent="0.2">
      <c r="A953" s="352"/>
      <c r="B953" s="352"/>
      <c r="C953" s="352"/>
      <c r="D953" s="352"/>
      <c r="E953" s="352"/>
      <c r="F953" s="352"/>
      <c r="G953" s="352"/>
      <c r="H953" s="352"/>
      <c r="I953" s="352"/>
      <c r="J953" s="352"/>
      <c r="K953" s="352"/>
      <c r="L953" s="352"/>
      <c r="M953" s="352"/>
      <c r="N953" s="352"/>
      <c r="O953" s="352"/>
      <c r="P953" s="352"/>
      <c r="Q953" s="352"/>
      <c r="R953" s="352"/>
      <c r="S953" s="352"/>
      <c r="T953" s="352"/>
      <c r="U953" s="352"/>
      <c r="V953" s="352"/>
    </row>
    <row r="954" spans="1:22" ht="26.25" hidden="1" customHeight="1" x14ac:dyDescent="0.2">
      <c r="A954" s="352"/>
      <c r="B954" s="352"/>
      <c r="C954" s="352"/>
      <c r="D954" s="352"/>
      <c r="E954" s="352"/>
      <c r="F954" s="352"/>
      <c r="G954" s="352"/>
      <c r="H954" s="352"/>
      <c r="I954" s="352"/>
      <c r="J954" s="352"/>
      <c r="K954" s="352"/>
      <c r="L954" s="352"/>
      <c r="M954" s="352"/>
      <c r="N954" s="352"/>
      <c r="O954" s="352"/>
      <c r="P954" s="352"/>
      <c r="Q954" s="352"/>
      <c r="R954" s="352"/>
      <c r="S954" s="352"/>
      <c r="T954" s="352"/>
      <c r="U954" s="352"/>
      <c r="V954" s="352"/>
    </row>
    <row r="955" spans="1:22" ht="26.25" hidden="1" customHeight="1" x14ac:dyDescent="0.2">
      <c r="A955" s="352"/>
      <c r="B955" s="352"/>
      <c r="C955" s="352"/>
      <c r="D955" s="352"/>
      <c r="E955" s="352"/>
      <c r="F955" s="352"/>
      <c r="G955" s="352"/>
      <c r="H955" s="352"/>
      <c r="I955" s="352"/>
      <c r="J955" s="352"/>
      <c r="K955" s="352"/>
      <c r="L955" s="352"/>
      <c r="M955" s="352"/>
      <c r="N955" s="352"/>
      <c r="O955" s="352"/>
      <c r="P955" s="352"/>
      <c r="Q955" s="352"/>
      <c r="R955" s="352"/>
      <c r="S955" s="352"/>
      <c r="T955" s="352"/>
      <c r="U955" s="352"/>
      <c r="V955" s="352"/>
    </row>
    <row r="956" spans="1:22" ht="26.25" hidden="1" customHeight="1" x14ac:dyDescent="0.2">
      <c r="A956" s="352"/>
      <c r="B956" s="352"/>
      <c r="C956" s="352"/>
      <c r="D956" s="352"/>
      <c r="E956" s="352"/>
      <c r="F956" s="352"/>
      <c r="G956" s="352"/>
      <c r="H956" s="352"/>
      <c r="I956" s="352"/>
      <c r="J956" s="352"/>
      <c r="K956" s="352"/>
      <c r="L956" s="352"/>
      <c r="M956" s="352"/>
      <c r="N956" s="352"/>
      <c r="O956" s="352"/>
      <c r="P956" s="352"/>
      <c r="Q956" s="352"/>
      <c r="R956" s="352"/>
      <c r="S956" s="352"/>
      <c r="T956" s="352"/>
      <c r="U956" s="352"/>
      <c r="V956" s="352"/>
    </row>
    <row r="957" spans="1:22" ht="26.25" hidden="1" customHeight="1" x14ac:dyDescent="0.2">
      <c r="A957" s="352"/>
      <c r="B957" s="352"/>
      <c r="C957" s="352"/>
      <c r="D957" s="352"/>
      <c r="E957" s="352"/>
      <c r="F957" s="352"/>
      <c r="G957" s="352"/>
      <c r="H957" s="352"/>
      <c r="I957" s="352"/>
      <c r="J957" s="352"/>
      <c r="K957" s="352"/>
      <c r="L957" s="352"/>
      <c r="M957" s="352"/>
      <c r="N957" s="352"/>
      <c r="O957" s="352"/>
      <c r="P957" s="352"/>
      <c r="Q957" s="352"/>
      <c r="R957" s="352"/>
      <c r="S957" s="352"/>
      <c r="T957" s="352"/>
      <c r="U957" s="352"/>
      <c r="V957" s="352"/>
    </row>
    <row r="958" spans="1:22" ht="26.25" hidden="1" customHeight="1" x14ac:dyDescent="0.2">
      <c r="A958" s="352"/>
      <c r="B958" s="352"/>
      <c r="C958" s="352"/>
      <c r="D958" s="352"/>
      <c r="E958" s="352"/>
      <c r="F958" s="352"/>
      <c r="G958" s="352"/>
      <c r="H958" s="352"/>
      <c r="I958" s="352"/>
      <c r="J958" s="352"/>
      <c r="K958" s="352"/>
      <c r="L958" s="352"/>
      <c r="M958" s="352"/>
      <c r="N958" s="352"/>
      <c r="O958" s="352"/>
      <c r="P958" s="352"/>
      <c r="Q958" s="352"/>
      <c r="R958" s="352"/>
      <c r="S958" s="352"/>
      <c r="T958" s="352"/>
      <c r="U958" s="352"/>
      <c r="V958" s="352"/>
    </row>
    <row r="959" spans="1:22" ht="26.25" hidden="1" customHeight="1" x14ac:dyDescent="0.2">
      <c r="A959" s="352"/>
      <c r="B959" s="352"/>
      <c r="C959" s="352"/>
      <c r="D959" s="352"/>
      <c r="E959" s="352"/>
      <c r="F959" s="352"/>
      <c r="G959" s="352"/>
      <c r="H959" s="352"/>
      <c r="I959" s="352"/>
      <c r="J959" s="352"/>
      <c r="K959" s="352"/>
      <c r="L959" s="352"/>
      <c r="M959" s="352"/>
      <c r="N959" s="352"/>
      <c r="O959" s="352"/>
      <c r="P959" s="352"/>
      <c r="Q959" s="352"/>
      <c r="R959" s="352"/>
      <c r="S959" s="352"/>
      <c r="T959" s="352"/>
      <c r="U959" s="352"/>
      <c r="V959" s="352"/>
    </row>
    <row r="960" spans="1:22" ht="26.25" hidden="1" customHeight="1" x14ac:dyDescent="0.2">
      <c r="A960" s="352"/>
      <c r="B960" s="352"/>
      <c r="C960" s="352"/>
      <c r="D960" s="352"/>
      <c r="E960" s="352"/>
      <c r="F960" s="352"/>
      <c r="G960" s="352"/>
      <c r="H960" s="352"/>
      <c r="I960" s="352"/>
      <c r="J960" s="352"/>
      <c r="K960" s="352"/>
      <c r="L960" s="352"/>
      <c r="M960" s="352"/>
      <c r="N960" s="352"/>
      <c r="O960" s="352"/>
      <c r="P960" s="352"/>
      <c r="Q960" s="352"/>
      <c r="R960" s="352"/>
      <c r="S960" s="352"/>
      <c r="T960" s="352"/>
      <c r="U960" s="352"/>
      <c r="V960" s="352"/>
    </row>
    <row r="961" spans="1:22" ht="26.25" hidden="1" customHeight="1" x14ac:dyDescent="0.2">
      <c r="A961" s="352"/>
      <c r="B961" s="352"/>
      <c r="C961" s="352"/>
      <c r="D961" s="352"/>
      <c r="E961" s="352"/>
      <c r="F961" s="352"/>
      <c r="G961" s="352"/>
      <c r="H961" s="352"/>
      <c r="I961" s="352"/>
      <c r="J961" s="352"/>
      <c r="K961" s="352"/>
      <c r="L961" s="352"/>
      <c r="M961" s="352"/>
      <c r="N961" s="352"/>
      <c r="O961" s="352"/>
      <c r="P961" s="352"/>
      <c r="Q961" s="352"/>
      <c r="R961" s="352"/>
      <c r="S961" s="352"/>
      <c r="T961" s="352"/>
      <c r="U961" s="352"/>
      <c r="V961" s="352"/>
    </row>
    <row r="962" spans="1:22" ht="26.25" hidden="1" customHeight="1" x14ac:dyDescent="0.2">
      <c r="A962" s="352"/>
      <c r="B962" s="352"/>
      <c r="C962" s="352"/>
      <c r="D962" s="352"/>
      <c r="E962" s="352"/>
      <c r="F962" s="352"/>
      <c r="G962" s="352"/>
      <c r="H962" s="352"/>
      <c r="I962" s="352"/>
      <c r="J962" s="352"/>
      <c r="K962" s="352"/>
      <c r="L962" s="352"/>
      <c r="M962" s="352"/>
      <c r="N962" s="352"/>
      <c r="O962" s="352"/>
      <c r="P962" s="352"/>
      <c r="Q962" s="352"/>
      <c r="R962" s="352"/>
      <c r="S962" s="352"/>
      <c r="T962" s="352"/>
      <c r="U962" s="352"/>
      <c r="V962" s="352"/>
    </row>
    <row r="963" spans="1:22" ht="26.25" hidden="1" customHeight="1" x14ac:dyDescent="0.2">
      <c r="A963" s="352"/>
      <c r="B963" s="352"/>
      <c r="C963" s="352"/>
      <c r="D963" s="352"/>
      <c r="E963" s="352"/>
      <c r="F963" s="352"/>
      <c r="G963" s="352"/>
      <c r="H963" s="352"/>
      <c r="I963" s="352"/>
      <c r="J963" s="352"/>
      <c r="K963" s="352"/>
      <c r="L963" s="352"/>
      <c r="M963" s="352"/>
      <c r="N963" s="352"/>
      <c r="O963" s="352"/>
      <c r="P963" s="352"/>
      <c r="Q963" s="352"/>
      <c r="R963" s="352"/>
      <c r="S963" s="352"/>
      <c r="T963" s="352"/>
      <c r="U963" s="352"/>
      <c r="V963" s="352"/>
    </row>
    <row r="964" spans="1:22" ht="26.25" hidden="1" customHeight="1" x14ac:dyDescent="0.2">
      <c r="A964" s="352"/>
      <c r="B964" s="352"/>
      <c r="C964" s="352"/>
      <c r="D964" s="352"/>
      <c r="E964" s="352"/>
      <c r="F964" s="352"/>
      <c r="G964" s="352"/>
      <c r="H964" s="352"/>
      <c r="I964" s="352"/>
      <c r="J964" s="352"/>
      <c r="K964" s="352"/>
      <c r="L964" s="352"/>
      <c r="M964" s="352"/>
      <c r="N964" s="352"/>
      <c r="O964" s="352"/>
      <c r="P964" s="352"/>
      <c r="Q964" s="352"/>
      <c r="R964" s="352"/>
      <c r="S964" s="352"/>
      <c r="T964" s="352"/>
      <c r="U964" s="352"/>
      <c r="V964" s="352"/>
    </row>
    <row r="965" spans="1:22" ht="26.25" hidden="1" customHeight="1" x14ac:dyDescent="0.2">
      <c r="A965" s="352"/>
      <c r="B965" s="352"/>
      <c r="C965" s="352"/>
      <c r="D965" s="352"/>
      <c r="E965" s="352"/>
      <c r="F965" s="352"/>
      <c r="G965" s="352"/>
      <c r="H965" s="352"/>
      <c r="I965" s="352"/>
      <c r="J965" s="352"/>
      <c r="K965" s="352"/>
      <c r="L965" s="352"/>
      <c r="M965" s="352"/>
      <c r="N965" s="352"/>
      <c r="O965" s="352"/>
      <c r="P965" s="352"/>
      <c r="Q965" s="352"/>
      <c r="R965" s="352"/>
      <c r="S965" s="352"/>
      <c r="T965" s="352"/>
      <c r="U965" s="352"/>
      <c r="V965" s="352"/>
    </row>
    <row r="966" spans="1:22" ht="26.25" hidden="1" customHeight="1" x14ac:dyDescent="0.2">
      <c r="A966" s="352"/>
      <c r="B966" s="352"/>
      <c r="C966" s="352"/>
      <c r="D966" s="352"/>
      <c r="E966" s="352"/>
      <c r="F966" s="352"/>
      <c r="G966" s="352"/>
      <c r="H966" s="352"/>
      <c r="I966" s="352"/>
      <c r="J966" s="352"/>
      <c r="K966" s="352"/>
      <c r="L966" s="352"/>
      <c r="M966" s="352"/>
      <c r="N966" s="352"/>
      <c r="O966" s="352"/>
      <c r="P966" s="352"/>
      <c r="Q966" s="352"/>
      <c r="R966" s="352"/>
      <c r="S966" s="352"/>
      <c r="T966" s="352"/>
      <c r="U966" s="352"/>
      <c r="V966" s="352"/>
    </row>
    <row r="967" spans="1:22" ht="26.25" hidden="1" customHeight="1" x14ac:dyDescent="0.2">
      <c r="A967" s="352"/>
      <c r="B967" s="352"/>
      <c r="C967" s="352"/>
      <c r="D967" s="352"/>
      <c r="E967" s="352"/>
      <c r="F967" s="352"/>
      <c r="G967" s="352"/>
      <c r="H967" s="352"/>
      <c r="I967" s="352"/>
      <c r="J967" s="352"/>
      <c r="K967" s="352"/>
      <c r="L967" s="352"/>
      <c r="M967" s="352"/>
      <c r="N967" s="352"/>
      <c r="O967" s="352"/>
      <c r="P967" s="352"/>
      <c r="Q967" s="352"/>
      <c r="R967" s="352"/>
      <c r="S967" s="352"/>
      <c r="T967" s="352"/>
      <c r="U967" s="352"/>
      <c r="V967" s="352"/>
    </row>
    <row r="968" spans="1:22" ht="26.25" hidden="1" customHeight="1" x14ac:dyDescent="0.2">
      <c r="A968" s="352"/>
      <c r="B968" s="352"/>
      <c r="C968" s="352"/>
      <c r="D968" s="352"/>
      <c r="E968" s="352"/>
      <c r="F968" s="352"/>
      <c r="G968" s="352"/>
      <c r="H968" s="352"/>
      <c r="I968" s="352"/>
      <c r="J968" s="352"/>
      <c r="K968" s="352"/>
      <c r="L968" s="352"/>
      <c r="M968" s="352"/>
      <c r="N968" s="352"/>
      <c r="O968" s="352"/>
      <c r="P968" s="352"/>
      <c r="Q968" s="352"/>
      <c r="R968" s="352"/>
      <c r="S968" s="352"/>
      <c r="T968" s="352"/>
      <c r="U968" s="352"/>
      <c r="V968" s="352"/>
    </row>
    <row r="969" spans="1:22" ht="26.25" hidden="1" customHeight="1" x14ac:dyDescent="0.2">
      <c r="A969" s="352"/>
      <c r="B969" s="352"/>
      <c r="C969" s="352"/>
      <c r="D969" s="352"/>
      <c r="E969" s="352"/>
      <c r="F969" s="352"/>
      <c r="G969" s="352"/>
      <c r="H969" s="352"/>
      <c r="I969" s="352"/>
      <c r="J969" s="352"/>
      <c r="K969" s="352"/>
      <c r="L969" s="352"/>
      <c r="M969" s="352"/>
      <c r="N969" s="352"/>
      <c r="O969" s="352"/>
      <c r="P969" s="352"/>
      <c r="Q969" s="352"/>
      <c r="R969" s="352"/>
      <c r="S969" s="352"/>
      <c r="T969" s="352"/>
      <c r="U969" s="352"/>
      <c r="V969" s="352"/>
    </row>
    <row r="970" spans="1:22" ht="26.25" hidden="1" customHeight="1" x14ac:dyDescent="0.2">
      <c r="A970" s="352"/>
      <c r="B970" s="352"/>
      <c r="C970" s="352"/>
      <c r="D970" s="352"/>
      <c r="E970" s="352"/>
      <c r="F970" s="352"/>
      <c r="G970" s="352"/>
      <c r="H970" s="352"/>
      <c r="I970" s="352"/>
      <c r="J970" s="352"/>
      <c r="K970" s="352"/>
      <c r="L970" s="352"/>
      <c r="M970" s="352"/>
      <c r="N970" s="352"/>
      <c r="O970" s="352"/>
      <c r="P970" s="352"/>
      <c r="Q970" s="352"/>
      <c r="R970" s="352"/>
      <c r="S970" s="352"/>
      <c r="T970" s="352"/>
      <c r="U970" s="352"/>
      <c r="V970" s="352"/>
    </row>
    <row r="971" spans="1:22" ht="26.25" hidden="1" customHeight="1" x14ac:dyDescent="0.2">
      <c r="A971" s="352"/>
      <c r="B971" s="352"/>
      <c r="C971" s="352"/>
      <c r="D971" s="352"/>
      <c r="E971" s="352"/>
      <c r="F971" s="352"/>
      <c r="G971" s="352"/>
      <c r="H971" s="352"/>
      <c r="I971" s="352"/>
      <c r="J971" s="352"/>
      <c r="K971" s="352"/>
      <c r="L971" s="352"/>
      <c r="M971" s="352"/>
      <c r="N971" s="352"/>
      <c r="O971" s="352"/>
      <c r="P971" s="352"/>
      <c r="Q971" s="352"/>
      <c r="R971" s="352"/>
      <c r="S971" s="352"/>
      <c r="T971" s="352"/>
      <c r="U971" s="352"/>
      <c r="V971" s="352"/>
    </row>
    <row r="972" spans="1:22" ht="26.25" hidden="1" customHeight="1" x14ac:dyDescent="0.2">
      <c r="A972" s="352"/>
      <c r="B972" s="352"/>
      <c r="C972" s="352"/>
      <c r="D972" s="352"/>
      <c r="E972" s="352"/>
      <c r="F972" s="352"/>
      <c r="G972" s="352"/>
      <c r="H972" s="352"/>
      <c r="I972" s="352"/>
      <c r="J972" s="352"/>
      <c r="K972" s="352"/>
      <c r="L972" s="352"/>
      <c r="M972" s="352"/>
      <c r="N972" s="352"/>
      <c r="O972" s="352"/>
      <c r="P972" s="352"/>
      <c r="Q972" s="352"/>
      <c r="R972" s="352"/>
      <c r="S972" s="352"/>
      <c r="T972" s="352"/>
      <c r="U972" s="352"/>
      <c r="V972" s="352"/>
    </row>
    <row r="973" spans="1:22" ht="26.25" hidden="1" customHeight="1" x14ac:dyDescent="0.2">
      <c r="A973" s="352"/>
      <c r="B973" s="352"/>
      <c r="C973" s="352"/>
      <c r="D973" s="352"/>
      <c r="E973" s="352"/>
      <c r="F973" s="352"/>
      <c r="G973" s="352"/>
      <c r="H973" s="352"/>
      <c r="I973" s="352"/>
      <c r="J973" s="352"/>
      <c r="K973" s="352"/>
      <c r="L973" s="352"/>
      <c r="M973" s="352"/>
      <c r="N973" s="352"/>
      <c r="O973" s="352"/>
      <c r="P973" s="352"/>
      <c r="Q973" s="352"/>
      <c r="R973" s="352"/>
      <c r="S973" s="352"/>
      <c r="T973" s="352"/>
      <c r="U973" s="352"/>
      <c r="V973" s="352"/>
    </row>
    <row r="974" spans="1:22" ht="26.25" hidden="1" customHeight="1" x14ac:dyDescent="0.2">
      <c r="A974" s="352"/>
      <c r="B974" s="352"/>
      <c r="C974" s="352"/>
      <c r="D974" s="352"/>
      <c r="E974" s="352"/>
      <c r="F974" s="352"/>
      <c r="G974" s="352"/>
      <c r="H974" s="352"/>
      <c r="I974" s="352"/>
      <c r="J974" s="352"/>
      <c r="K974" s="352"/>
      <c r="L974" s="352"/>
      <c r="M974" s="352"/>
      <c r="N974" s="352"/>
      <c r="O974" s="352"/>
      <c r="P974" s="352"/>
      <c r="Q974" s="352"/>
      <c r="R974" s="352"/>
      <c r="S974" s="352"/>
      <c r="T974" s="352"/>
      <c r="U974" s="352"/>
      <c r="V974" s="352"/>
    </row>
    <row r="975" spans="1:22" ht="26.25" hidden="1" customHeight="1" x14ac:dyDescent="0.2">
      <c r="A975" s="352"/>
      <c r="B975" s="352"/>
      <c r="C975" s="352"/>
      <c r="D975" s="352"/>
      <c r="E975" s="352"/>
      <c r="F975" s="352"/>
      <c r="G975" s="352"/>
      <c r="H975" s="352"/>
      <c r="I975" s="352"/>
      <c r="J975" s="352"/>
      <c r="K975" s="352"/>
      <c r="L975" s="352"/>
      <c r="M975" s="352"/>
      <c r="N975" s="352"/>
      <c r="O975" s="352"/>
      <c r="P975" s="352"/>
      <c r="Q975" s="352"/>
      <c r="R975" s="352"/>
      <c r="S975" s="352"/>
      <c r="T975" s="352"/>
      <c r="U975" s="352"/>
      <c r="V975" s="352"/>
    </row>
    <row r="976" spans="1:22" ht="26.25" hidden="1" customHeight="1" x14ac:dyDescent="0.2">
      <c r="A976" s="352"/>
      <c r="B976" s="352"/>
      <c r="C976" s="352"/>
      <c r="D976" s="352"/>
      <c r="E976" s="352"/>
      <c r="F976" s="352"/>
      <c r="G976" s="352"/>
      <c r="H976" s="352"/>
      <c r="I976" s="352"/>
      <c r="J976" s="352"/>
      <c r="K976" s="352"/>
      <c r="L976" s="352"/>
      <c r="M976" s="352"/>
      <c r="N976" s="352"/>
      <c r="O976" s="352"/>
      <c r="P976" s="352"/>
      <c r="Q976" s="352"/>
      <c r="R976" s="352"/>
      <c r="S976" s="352"/>
      <c r="T976" s="352"/>
      <c r="U976" s="352"/>
      <c r="V976" s="352"/>
    </row>
    <row r="977" spans="1:22" ht="26.25" hidden="1" customHeight="1" x14ac:dyDescent="0.2">
      <c r="A977" s="352"/>
      <c r="B977" s="352"/>
      <c r="C977" s="352"/>
      <c r="D977" s="352"/>
      <c r="E977" s="352"/>
      <c r="F977" s="352"/>
      <c r="G977" s="352"/>
      <c r="H977" s="352"/>
      <c r="I977" s="352"/>
      <c r="J977" s="352"/>
      <c r="K977" s="352"/>
      <c r="L977" s="352"/>
      <c r="M977" s="352"/>
      <c r="N977" s="352"/>
      <c r="O977" s="352"/>
      <c r="P977" s="352"/>
      <c r="Q977" s="352"/>
      <c r="R977" s="352"/>
      <c r="S977" s="352"/>
      <c r="T977" s="352"/>
      <c r="U977" s="352"/>
      <c r="V977" s="352"/>
    </row>
  </sheetData>
  <sheetProtection sheet="1" objects="1" scenarios="1"/>
  <mergeCells count="851">
    <mergeCell ref="P1:Q1"/>
    <mergeCell ref="A2:H2"/>
    <mergeCell ref="I2:M2"/>
    <mergeCell ref="N2:Q2"/>
    <mergeCell ref="Z2:Z10"/>
    <mergeCell ref="A3:Q4"/>
    <mergeCell ref="A5:M5"/>
    <mergeCell ref="N5:Q5"/>
    <mergeCell ref="A6:M6"/>
    <mergeCell ref="A7:D7"/>
    <mergeCell ref="A10:D10"/>
    <mergeCell ref="E10:F10"/>
    <mergeCell ref="G10:L10"/>
    <mergeCell ref="M10:P10"/>
    <mergeCell ref="A1:H1"/>
    <mergeCell ref="I1:J1"/>
    <mergeCell ref="L1:O1"/>
    <mergeCell ref="A11:D11"/>
    <mergeCell ref="E11:F11"/>
    <mergeCell ref="M11:P11"/>
    <mergeCell ref="E7:L7"/>
    <mergeCell ref="N7:Q7"/>
    <mergeCell ref="A8:D8"/>
    <mergeCell ref="E8:L8"/>
    <mergeCell ref="M8:P8"/>
    <mergeCell ref="A9:D9"/>
    <mergeCell ref="E9:L9"/>
    <mergeCell ref="M9:P9"/>
    <mergeCell ref="G11:L11"/>
    <mergeCell ref="A12:H12"/>
    <mergeCell ref="I12:J12"/>
    <mergeCell ref="K12:L12"/>
    <mergeCell ref="M12:P12"/>
    <mergeCell ref="A13:J13"/>
    <mergeCell ref="K13:N14"/>
    <mergeCell ref="O13:Q13"/>
    <mergeCell ref="A14:J15"/>
    <mergeCell ref="K15:O15"/>
    <mergeCell ref="AF15:AG15"/>
    <mergeCell ref="A16:J16"/>
    <mergeCell ref="K16:O16"/>
    <mergeCell ref="AF16:AG16"/>
    <mergeCell ref="A17:J18"/>
    <mergeCell ref="K17:O17"/>
    <mergeCell ref="AF17:AG17"/>
    <mergeCell ref="K18:O18"/>
    <mergeCell ref="AF18:AG18"/>
    <mergeCell ref="A21:D21"/>
    <mergeCell ref="E21:H21"/>
    <mergeCell ref="I21:L21"/>
    <mergeCell ref="M21:Q21"/>
    <mergeCell ref="AF21:AG21"/>
    <mergeCell ref="A22:Q22"/>
    <mergeCell ref="AF22:AG22"/>
    <mergeCell ref="A19:Q19"/>
    <mergeCell ref="AF19:AG19"/>
    <mergeCell ref="A20:D20"/>
    <mergeCell ref="E20:H20"/>
    <mergeCell ref="I20:L20"/>
    <mergeCell ref="M20:Q20"/>
    <mergeCell ref="S20:V20"/>
    <mergeCell ref="AF20:AG20"/>
    <mergeCell ref="AF25:AG25"/>
    <mergeCell ref="A26:Q26"/>
    <mergeCell ref="AF26:AG26"/>
    <mergeCell ref="A27:Q28"/>
    <mergeCell ref="AF27:AG27"/>
    <mergeCell ref="A23:L23"/>
    <mergeCell ref="M23:Q23"/>
    <mergeCell ref="AF23:AG23"/>
    <mergeCell ref="A24:L24"/>
    <mergeCell ref="M24:Q24"/>
    <mergeCell ref="AF24:AG24"/>
    <mergeCell ref="A29:Q29"/>
    <mergeCell ref="A30:Q31"/>
    <mergeCell ref="A32:Q32"/>
    <mergeCell ref="A33:L33"/>
    <mergeCell ref="M33:Q33"/>
    <mergeCell ref="A34:L34"/>
    <mergeCell ref="M34:Q34"/>
    <mergeCell ref="A25:L25"/>
    <mergeCell ref="M25:Q25"/>
    <mergeCell ref="A44:Q44"/>
    <mergeCell ref="A45:Q46"/>
    <mergeCell ref="A48:M48"/>
    <mergeCell ref="N48:Q48"/>
    <mergeCell ref="A49:M49"/>
    <mergeCell ref="A35:Q35"/>
    <mergeCell ref="A36:Q37"/>
    <mergeCell ref="A38:Q38"/>
    <mergeCell ref="A39:Q40"/>
    <mergeCell ref="A41:Q41"/>
    <mergeCell ref="A42:Q43"/>
    <mergeCell ref="A47:Q47"/>
    <mergeCell ref="A52:D52"/>
    <mergeCell ref="E52:L52"/>
    <mergeCell ref="M52:P52"/>
    <mergeCell ref="A53:D53"/>
    <mergeCell ref="E53:F53"/>
    <mergeCell ref="G53:L53"/>
    <mergeCell ref="M53:P53"/>
    <mergeCell ref="A50:D50"/>
    <mergeCell ref="E50:L50"/>
    <mergeCell ref="N50:Q50"/>
    <mergeCell ref="A51:D51"/>
    <mergeCell ref="E51:L51"/>
    <mergeCell ref="M51:P51"/>
    <mergeCell ref="A56:J56"/>
    <mergeCell ref="K56:N57"/>
    <mergeCell ref="O56:Q56"/>
    <mergeCell ref="A57:J58"/>
    <mergeCell ref="K58:O58"/>
    <mergeCell ref="A59:J59"/>
    <mergeCell ref="K59:O59"/>
    <mergeCell ref="A54:D54"/>
    <mergeCell ref="E54:F54"/>
    <mergeCell ref="M54:P54"/>
    <mergeCell ref="A55:H55"/>
    <mergeCell ref="I55:J55"/>
    <mergeCell ref="K55:L55"/>
    <mergeCell ref="M55:P55"/>
    <mergeCell ref="G54:L54"/>
    <mergeCell ref="S63:V63"/>
    <mergeCell ref="A64:D64"/>
    <mergeCell ref="E64:H64"/>
    <mergeCell ref="I64:L64"/>
    <mergeCell ref="M64:Q64"/>
    <mergeCell ref="A65:Q65"/>
    <mergeCell ref="A60:J61"/>
    <mergeCell ref="K60:O60"/>
    <mergeCell ref="K61:O61"/>
    <mergeCell ref="A62:Q62"/>
    <mergeCell ref="A63:D63"/>
    <mergeCell ref="E63:H63"/>
    <mergeCell ref="I63:L63"/>
    <mergeCell ref="M63:Q63"/>
    <mergeCell ref="A69:Q69"/>
    <mergeCell ref="A70:Q71"/>
    <mergeCell ref="A72:Q72"/>
    <mergeCell ref="A73:Q74"/>
    <mergeCell ref="A75:Q75"/>
    <mergeCell ref="A76:L76"/>
    <mergeCell ref="M76:Q76"/>
    <mergeCell ref="A66:L66"/>
    <mergeCell ref="M66:Q66"/>
    <mergeCell ref="A67:L67"/>
    <mergeCell ref="M67:Q67"/>
    <mergeCell ref="A68:L68"/>
    <mergeCell ref="M68:Q68"/>
    <mergeCell ref="A84:Q84"/>
    <mergeCell ref="A85:Q86"/>
    <mergeCell ref="A87:Q87"/>
    <mergeCell ref="A88:Q89"/>
    <mergeCell ref="A91:M91"/>
    <mergeCell ref="N91:Q91"/>
    <mergeCell ref="A77:L77"/>
    <mergeCell ref="M77:Q77"/>
    <mergeCell ref="A78:Q78"/>
    <mergeCell ref="A79:Q80"/>
    <mergeCell ref="A81:Q81"/>
    <mergeCell ref="A82:Q83"/>
    <mergeCell ref="A90:Q90"/>
    <mergeCell ref="A95:D95"/>
    <mergeCell ref="E95:L95"/>
    <mergeCell ref="M95:P95"/>
    <mergeCell ref="A96:D96"/>
    <mergeCell ref="E96:F96"/>
    <mergeCell ref="G96:L96"/>
    <mergeCell ref="M96:P96"/>
    <mergeCell ref="A92:M92"/>
    <mergeCell ref="A93:D93"/>
    <mergeCell ref="E93:L93"/>
    <mergeCell ref="N93:Q93"/>
    <mergeCell ref="A94:D94"/>
    <mergeCell ref="E94:L94"/>
    <mergeCell ref="M94:P94"/>
    <mergeCell ref="A99:J99"/>
    <mergeCell ref="K99:N100"/>
    <mergeCell ref="O99:Q99"/>
    <mergeCell ref="A100:J101"/>
    <mergeCell ref="K101:O101"/>
    <mergeCell ref="A102:J102"/>
    <mergeCell ref="K102:O102"/>
    <mergeCell ref="A97:D97"/>
    <mergeCell ref="E97:F97"/>
    <mergeCell ref="M97:P97"/>
    <mergeCell ref="A98:H98"/>
    <mergeCell ref="I98:J98"/>
    <mergeCell ref="K98:L98"/>
    <mergeCell ref="M98:P98"/>
    <mergeCell ref="G97:L97"/>
    <mergeCell ref="S106:V106"/>
    <mergeCell ref="A107:D107"/>
    <mergeCell ref="E107:H107"/>
    <mergeCell ref="I107:L107"/>
    <mergeCell ref="M107:Q107"/>
    <mergeCell ref="A108:Q108"/>
    <mergeCell ref="A103:J104"/>
    <mergeCell ref="K103:O103"/>
    <mergeCell ref="K104:O104"/>
    <mergeCell ref="A105:Q105"/>
    <mergeCell ref="A106:D106"/>
    <mergeCell ref="E106:H106"/>
    <mergeCell ref="I106:L106"/>
    <mergeCell ref="M106:Q106"/>
    <mergeCell ref="A112:Q112"/>
    <mergeCell ref="A113:Q114"/>
    <mergeCell ref="A115:Q115"/>
    <mergeCell ref="A116:Q117"/>
    <mergeCell ref="A118:Q118"/>
    <mergeCell ref="A119:L119"/>
    <mergeCell ref="M119:Q119"/>
    <mergeCell ref="A109:L109"/>
    <mergeCell ref="M109:Q109"/>
    <mergeCell ref="A110:L110"/>
    <mergeCell ref="M110:Q110"/>
    <mergeCell ref="A111:L111"/>
    <mergeCell ref="M111:Q111"/>
    <mergeCell ref="A127:Q127"/>
    <mergeCell ref="A128:Q129"/>
    <mergeCell ref="A130:Q130"/>
    <mergeCell ref="A131:Q132"/>
    <mergeCell ref="A134:M134"/>
    <mergeCell ref="N134:Q134"/>
    <mergeCell ref="A120:L120"/>
    <mergeCell ref="M120:Q120"/>
    <mergeCell ref="A121:Q121"/>
    <mergeCell ref="A122:Q123"/>
    <mergeCell ref="A124:Q124"/>
    <mergeCell ref="A125:Q126"/>
    <mergeCell ref="A133:Q133"/>
    <mergeCell ref="A138:D138"/>
    <mergeCell ref="E138:L138"/>
    <mergeCell ref="M138:P138"/>
    <mergeCell ref="A139:D139"/>
    <mergeCell ref="E139:F139"/>
    <mergeCell ref="G139:L139"/>
    <mergeCell ref="M139:P139"/>
    <mergeCell ref="A135:M135"/>
    <mergeCell ref="A136:D136"/>
    <mergeCell ref="E136:L136"/>
    <mergeCell ref="N136:Q136"/>
    <mergeCell ref="A137:D137"/>
    <mergeCell ref="E137:L137"/>
    <mergeCell ref="M137:P137"/>
    <mergeCell ref="A142:J142"/>
    <mergeCell ref="K142:N143"/>
    <mergeCell ref="O142:Q142"/>
    <mergeCell ref="A143:J144"/>
    <mergeCell ref="K144:O144"/>
    <mergeCell ref="A145:J145"/>
    <mergeCell ref="K145:O145"/>
    <mergeCell ref="A140:D140"/>
    <mergeCell ref="E140:F140"/>
    <mergeCell ref="M140:P140"/>
    <mergeCell ref="A141:H141"/>
    <mergeCell ref="I141:J141"/>
    <mergeCell ref="K141:L141"/>
    <mergeCell ref="M141:P141"/>
    <mergeCell ref="G140:L140"/>
    <mergeCell ref="S149:V149"/>
    <mergeCell ref="A150:D150"/>
    <mergeCell ref="E150:H150"/>
    <mergeCell ref="I150:L150"/>
    <mergeCell ref="M150:Q150"/>
    <mergeCell ref="A151:Q151"/>
    <mergeCell ref="A146:J147"/>
    <mergeCell ref="K146:O146"/>
    <mergeCell ref="K147:O147"/>
    <mergeCell ref="A148:Q148"/>
    <mergeCell ref="A149:D149"/>
    <mergeCell ref="E149:H149"/>
    <mergeCell ref="I149:L149"/>
    <mergeCell ref="M149:Q149"/>
    <mergeCell ref="A155:Q155"/>
    <mergeCell ref="A156:Q157"/>
    <mergeCell ref="A158:Q158"/>
    <mergeCell ref="A159:Q160"/>
    <mergeCell ref="A161:Q161"/>
    <mergeCell ref="A162:L162"/>
    <mergeCell ref="M162:Q162"/>
    <mergeCell ref="A152:L152"/>
    <mergeCell ref="M152:Q152"/>
    <mergeCell ref="A153:L153"/>
    <mergeCell ref="M153:Q153"/>
    <mergeCell ref="A154:L154"/>
    <mergeCell ref="M154:Q154"/>
    <mergeCell ref="A170:Q170"/>
    <mergeCell ref="A171:Q172"/>
    <mergeCell ref="A173:Q173"/>
    <mergeCell ref="A174:Q175"/>
    <mergeCell ref="A177:M177"/>
    <mergeCell ref="N177:Q177"/>
    <mergeCell ref="A163:L163"/>
    <mergeCell ref="M163:Q163"/>
    <mergeCell ref="A164:Q164"/>
    <mergeCell ref="A165:Q166"/>
    <mergeCell ref="A167:Q167"/>
    <mergeCell ref="A168:Q169"/>
    <mergeCell ref="A176:Q176"/>
    <mergeCell ref="A181:D181"/>
    <mergeCell ref="E181:L181"/>
    <mergeCell ref="M181:P181"/>
    <mergeCell ref="A182:D182"/>
    <mergeCell ref="E182:F182"/>
    <mergeCell ref="G182:L182"/>
    <mergeCell ref="M182:P182"/>
    <mergeCell ref="A178:M178"/>
    <mergeCell ref="A179:D179"/>
    <mergeCell ref="E179:L179"/>
    <mergeCell ref="N179:Q179"/>
    <mergeCell ref="A180:D180"/>
    <mergeCell ref="E180:L180"/>
    <mergeCell ref="M180:P180"/>
    <mergeCell ref="A185:J185"/>
    <mergeCell ref="K185:N186"/>
    <mergeCell ref="O185:Q185"/>
    <mergeCell ref="A186:J187"/>
    <mergeCell ref="K187:O187"/>
    <mergeCell ref="A188:J188"/>
    <mergeCell ref="K188:O188"/>
    <mergeCell ref="A183:D183"/>
    <mergeCell ref="E183:F183"/>
    <mergeCell ref="M183:P183"/>
    <mergeCell ref="A184:H184"/>
    <mergeCell ref="I184:J184"/>
    <mergeCell ref="K184:L184"/>
    <mergeCell ref="M184:P184"/>
    <mergeCell ref="G183:L183"/>
    <mergeCell ref="S192:V192"/>
    <mergeCell ref="A193:D193"/>
    <mergeCell ref="E193:H193"/>
    <mergeCell ref="I193:L193"/>
    <mergeCell ref="M193:Q193"/>
    <mergeCell ref="A194:Q194"/>
    <mergeCell ref="A189:J190"/>
    <mergeCell ref="K189:O189"/>
    <mergeCell ref="K190:O190"/>
    <mergeCell ref="A191:Q191"/>
    <mergeCell ref="A192:D192"/>
    <mergeCell ref="E192:H192"/>
    <mergeCell ref="I192:L192"/>
    <mergeCell ref="M192:Q192"/>
    <mergeCell ref="A198:Q198"/>
    <mergeCell ref="A199:Q200"/>
    <mergeCell ref="A201:Q201"/>
    <mergeCell ref="A202:Q203"/>
    <mergeCell ref="A204:Q204"/>
    <mergeCell ref="A205:L205"/>
    <mergeCell ref="M205:Q205"/>
    <mergeCell ref="A195:L195"/>
    <mergeCell ref="M195:Q195"/>
    <mergeCell ref="A196:L196"/>
    <mergeCell ref="M196:Q196"/>
    <mergeCell ref="A197:L197"/>
    <mergeCell ref="M197:Q197"/>
    <mergeCell ref="A213:Q213"/>
    <mergeCell ref="A214:Q215"/>
    <mergeCell ref="A216:Q216"/>
    <mergeCell ref="A217:Q218"/>
    <mergeCell ref="A220:M220"/>
    <mergeCell ref="N220:Q220"/>
    <mergeCell ref="A206:L206"/>
    <mergeCell ref="M206:Q206"/>
    <mergeCell ref="A207:Q207"/>
    <mergeCell ref="A208:Q209"/>
    <mergeCell ref="A210:Q210"/>
    <mergeCell ref="A211:Q212"/>
    <mergeCell ref="A219:Q219"/>
    <mergeCell ref="A224:D224"/>
    <mergeCell ref="E224:L224"/>
    <mergeCell ref="M224:P224"/>
    <mergeCell ref="A225:D225"/>
    <mergeCell ref="E225:F225"/>
    <mergeCell ref="G225:L225"/>
    <mergeCell ref="M225:P225"/>
    <mergeCell ref="A221:M221"/>
    <mergeCell ref="A222:D222"/>
    <mergeCell ref="E222:L222"/>
    <mergeCell ref="N222:Q222"/>
    <mergeCell ref="A223:D223"/>
    <mergeCell ref="E223:L223"/>
    <mergeCell ref="M223:P223"/>
    <mergeCell ref="A228:J228"/>
    <mergeCell ref="K228:N229"/>
    <mergeCell ref="O228:Q228"/>
    <mergeCell ref="A229:J230"/>
    <mergeCell ref="K230:O230"/>
    <mergeCell ref="A231:J231"/>
    <mergeCell ref="K231:O231"/>
    <mergeCell ref="A226:D226"/>
    <mergeCell ref="E226:F226"/>
    <mergeCell ref="M226:P226"/>
    <mergeCell ref="A227:H227"/>
    <mergeCell ref="I227:J227"/>
    <mergeCell ref="K227:L227"/>
    <mergeCell ref="M227:P227"/>
    <mergeCell ref="G226:L226"/>
    <mergeCell ref="S235:V235"/>
    <mergeCell ref="A236:D236"/>
    <mergeCell ref="E236:H236"/>
    <mergeCell ref="I236:L236"/>
    <mergeCell ref="M236:Q236"/>
    <mergeCell ref="A237:Q237"/>
    <mergeCell ref="A232:J233"/>
    <mergeCell ref="K232:O232"/>
    <mergeCell ref="K233:O233"/>
    <mergeCell ref="A234:Q234"/>
    <mergeCell ref="A235:D235"/>
    <mergeCell ref="E235:H235"/>
    <mergeCell ref="I235:L235"/>
    <mergeCell ref="M235:Q235"/>
    <mergeCell ref="A241:Q241"/>
    <mergeCell ref="A242:Q243"/>
    <mergeCell ref="A244:Q244"/>
    <mergeCell ref="A245:Q246"/>
    <mergeCell ref="A247:Q247"/>
    <mergeCell ref="A248:L248"/>
    <mergeCell ref="M248:Q248"/>
    <mergeCell ref="A238:L238"/>
    <mergeCell ref="M238:Q238"/>
    <mergeCell ref="A239:L239"/>
    <mergeCell ref="M239:Q239"/>
    <mergeCell ref="A240:L240"/>
    <mergeCell ref="M240:Q240"/>
    <mergeCell ref="A256:Q256"/>
    <mergeCell ref="A257:Q258"/>
    <mergeCell ref="A259:Q259"/>
    <mergeCell ref="A260:Q261"/>
    <mergeCell ref="A263:M263"/>
    <mergeCell ref="N263:Q263"/>
    <mergeCell ref="A249:L249"/>
    <mergeCell ref="M249:Q249"/>
    <mergeCell ref="A250:Q250"/>
    <mergeCell ref="A251:Q252"/>
    <mergeCell ref="A253:Q253"/>
    <mergeCell ref="A254:Q255"/>
    <mergeCell ref="A262:Q262"/>
    <mergeCell ref="A267:D267"/>
    <mergeCell ref="E267:L267"/>
    <mergeCell ref="M267:P267"/>
    <mergeCell ref="A268:D268"/>
    <mergeCell ref="E268:F268"/>
    <mergeCell ref="G268:L268"/>
    <mergeCell ref="M268:P268"/>
    <mergeCell ref="A264:M264"/>
    <mergeCell ref="A265:D265"/>
    <mergeCell ref="E265:L265"/>
    <mergeCell ref="N265:Q265"/>
    <mergeCell ref="A266:D266"/>
    <mergeCell ref="E266:L266"/>
    <mergeCell ref="M266:P266"/>
    <mergeCell ref="A271:J271"/>
    <mergeCell ref="K271:N272"/>
    <mergeCell ref="O271:Q271"/>
    <mergeCell ref="A272:J273"/>
    <mergeCell ref="K273:O273"/>
    <mergeCell ref="A274:J274"/>
    <mergeCell ref="K274:O274"/>
    <mergeCell ref="A269:D269"/>
    <mergeCell ref="E269:F269"/>
    <mergeCell ref="M269:P269"/>
    <mergeCell ref="A270:H270"/>
    <mergeCell ref="I270:J270"/>
    <mergeCell ref="K270:L270"/>
    <mergeCell ref="M270:P270"/>
    <mergeCell ref="G269:L269"/>
    <mergeCell ref="S278:V278"/>
    <mergeCell ref="A279:D279"/>
    <mergeCell ref="E279:H279"/>
    <mergeCell ref="I279:L279"/>
    <mergeCell ref="M279:Q279"/>
    <mergeCell ref="A280:Q280"/>
    <mergeCell ref="A275:J276"/>
    <mergeCell ref="K275:O275"/>
    <mergeCell ref="K276:O276"/>
    <mergeCell ref="A277:Q277"/>
    <mergeCell ref="A278:D278"/>
    <mergeCell ref="E278:H278"/>
    <mergeCell ref="I278:L278"/>
    <mergeCell ref="M278:Q278"/>
    <mergeCell ref="A284:Q284"/>
    <mergeCell ref="A285:Q286"/>
    <mergeCell ref="A287:Q287"/>
    <mergeCell ref="A288:Q289"/>
    <mergeCell ref="A290:Q290"/>
    <mergeCell ref="A291:L291"/>
    <mergeCell ref="M291:Q291"/>
    <mergeCell ref="A281:L281"/>
    <mergeCell ref="M281:Q281"/>
    <mergeCell ref="A282:L282"/>
    <mergeCell ref="M282:Q282"/>
    <mergeCell ref="A283:L283"/>
    <mergeCell ref="M283:Q283"/>
    <mergeCell ref="A299:Q299"/>
    <mergeCell ref="A300:Q301"/>
    <mergeCell ref="A302:Q302"/>
    <mergeCell ref="A303:Q304"/>
    <mergeCell ref="A306:M306"/>
    <mergeCell ref="N306:Q306"/>
    <mergeCell ref="A292:L292"/>
    <mergeCell ref="M292:Q292"/>
    <mergeCell ref="A293:Q293"/>
    <mergeCell ref="A294:Q295"/>
    <mergeCell ref="A296:Q296"/>
    <mergeCell ref="A297:Q298"/>
    <mergeCell ref="A305:Q305"/>
    <mergeCell ref="A310:D310"/>
    <mergeCell ref="E310:L310"/>
    <mergeCell ref="M310:P310"/>
    <mergeCell ref="A311:D311"/>
    <mergeCell ref="E311:F311"/>
    <mergeCell ref="G311:L311"/>
    <mergeCell ref="M311:P311"/>
    <mergeCell ref="A307:M307"/>
    <mergeCell ref="A308:D308"/>
    <mergeCell ref="E308:L308"/>
    <mergeCell ref="N308:Q308"/>
    <mergeCell ref="A309:D309"/>
    <mergeCell ref="E309:L309"/>
    <mergeCell ref="M309:P309"/>
    <mergeCell ref="A314:J314"/>
    <mergeCell ref="K314:N315"/>
    <mergeCell ref="O314:Q314"/>
    <mergeCell ref="A315:J316"/>
    <mergeCell ref="K316:O316"/>
    <mergeCell ref="A317:J317"/>
    <mergeCell ref="K317:O317"/>
    <mergeCell ref="A312:D312"/>
    <mergeCell ref="E312:F312"/>
    <mergeCell ref="M312:P312"/>
    <mergeCell ref="A313:H313"/>
    <mergeCell ref="I313:J313"/>
    <mergeCell ref="K313:L313"/>
    <mergeCell ref="M313:P313"/>
    <mergeCell ref="G312:L312"/>
    <mergeCell ref="S321:V321"/>
    <mergeCell ref="A322:D322"/>
    <mergeCell ref="E322:H322"/>
    <mergeCell ref="I322:L322"/>
    <mergeCell ref="M322:Q322"/>
    <mergeCell ref="A323:Q323"/>
    <mergeCell ref="A318:J319"/>
    <mergeCell ref="K318:O318"/>
    <mergeCell ref="K319:O319"/>
    <mergeCell ref="A320:Q320"/>
    <mergeCell ref="A321:D321"/>
    <mergeCell ref="E321:H321"/>
    <mergeCell ref="I321:L321"/>
    <mergeCell ref="M321:Q321"/>
    <mergeCell ref="A327:Q327"/>
    <mergeCell ref="A328:Q329"/>
    <mergeCell ref="A330:Q330"/>
    <mergeCell ref="A331:Q332"/>
    <mergeCell ref="A333:Q333"/>
    <mergeCell ref="A334:L334"/>
    <mergeCell ref="M334:Q334"/>
    <mergeCell ref="A324:L324"/>
    <mergeCell ref="M324:Q324"/>
    <mergeCell ref="A325:L325"/>
    <mergeCell ref="M325:Q325"/>
    <mergeCell ref="A326:L326"/>
    <mergeCell ref="M326:Q326"/>
    <mergeCell ref="A342:Q342"/>
    <mergeCell ref="A343:Q344"/>
    <mergeCell ref="A345:Q345"/>
    <mergeCell ref="A346:Q347"/>
    <mergeCell ref="A349:M349"/>
    <mergeCell ref="N349:Q349"/>
    <mergeCell ref="A335:L335"/>
    <mergeCell ref="M335:Q335"/>
    <mergeCell ref="A336:Q336"/>
    <mergeCell ref="A337:Q338"/>
    <mergeCell ref="A339:Q339"/>
    <mergeCell ref="A340:Q341"/>
    <mergeCell ref="A348:Q348"/>
    <mergeCell ref="A353:D353"/>
    <mergeCell ref="E353:L353"/>
    <mergeCell ref="M353:P353"/>
    <mergeCell ref="A354:D354"/>
    <mergeCell ref="E354:F354"/>
    <mergeCell ref="G354:L354"/>
    <mergeCell ref="M354:P354"/>
    <mergeCell ref="A350:M350"/>
    <mergeCell ref="A351:D351"/>
    <mergeCell ref="E351:L351"/>
    <mergeCell ref="N351:Q351"/>
    <mergeCell ref="A352:D352"/>
    <mergeCell ref="E352:L352"/>
    <mergeCell ref="M352:P352"/>
    <mergeCell ref="A357:J357"/>
    <mergeCell ref="K357:N358"/>
    <mergeCell ref="O357:Q357"/>
    <mergeCell ref="A358:J359"/>
    <mergeCell ref="K359:O359"/>
    <mergeCell ref="A360:J360"/>
    <mergeCell ref="K360:O360"/>
    <mergeCell ref="A355:D355"/>
    <mergeCell ref="E355:F355"/>
    <mergeCell ref="M355:P355"/>
    <mergeCell ref="A356:H356"/>
    <mergeCell ref="I356:J356"/>
    <mergeCell ref="K356:L356"/>
    <mergeCell ref="M356:P356"/>
    <mergeCell ref="G355:L355"/>
    <mergeCell ref="S364:V364"/>
    <mergeCell ref="A365:D365"/>
    <mergeCell ref="E365:H365"/>
    <mergeCell ref="I365:L365"/>
    <mergeCell ref="M365:Q365"/>
    <mergeCell ref="A366:Q366"/>
    <mergeCell ref="A361:J362"/>
    <mergeCell ref="K361:O361"/>
    <mergeCell ref="K362:O362"/>
    <mergeCell ref="A363:Q363"/>
    <mergeCell ref="A364:D364"/>
    <mergeCell ref="E364:H364"/>
    <mergeCell ref="I364:L364"/>
    <mergeCell ref="M364:Q364"/>
    <mergeCell ref="A370:Q370"/>
    <mergeCell ref="A371:Q372"/>
    <mergeCell ref="A373:Q373"/>
    <mergeCell ref="A374:Q375"/>
    <mergeCell ref="A376:Q376"/>
    <mergeCell ref="A377:L377"/>
    <mergeCell ref="M377:Q377"/>
    <mergeCell ref="A367:L367"/>
    <mergeCell ref="M367:Q367"/>
    <mergeCell ref="A368:L368"/>
    <mergeCell ref="M368:Q368"/>
    <mergeCell ref="A369:L369"/>
    <mergeCell ref="M369:Q369"/>
    <mergeCell ref="A385:Q385"/>
    <mergeCell ref="A386:Q387"/>
    <mergeCell ref="A388:Q388"/>
    <mergeCell ref="A389:Q390"/>
    <mergeCell ref="A392:M392"/>
    <mergeCell ref="N392:Q392"/>
    <mergeCell ref="A378:L378"/>
    <mergeCell ref="M378:Q378"/>
    <mergeCell ref="A379:Q379"/>
    <mergeCell ref="A380:Q381"/>
    <mergeCell ref="A382:Q382"/>
    <mergeCell ref="A383:Q384"/>
    <mergeCell ref="A391:Q391"/>
    <mergeCell ref="A396:D396"/>
    <mergeCell ref="E396:L396"/>
    <mergeCell ref="M396:P396"/>
    <mergeCell ref="A397:D397"/>
    <mergeCell ref="E397:F397"/>
    <mergeCell ref="G397:L397"/>
    <mergeCell ref="M397:P397"/>
    <mergeCell ref="A393:M393"/>
    <mergeCell ref="A394:D394"/>
    <mergeCell ref="E394:L394"/>
    <mergeCell ref="N394:Q394"/>
    <mergeCell ref="A395:D395"/>
    <mergeCell ref="E395:L395"/>
    <mergeCell ref="M395:P395"/>
    <mergeCell ref="A400:J400"/>
    <mergeCell ref="K400:N401"/>
    <mergeCell ref="O400:Q400"/>
    <mergeCell ref="A401:J402"/>
    <mergeCell ref="K402:O402"/>
    <mergeCell ref="A403:J403"/>
    <mergeCell ref="K403:O403"/>
    <mergeCell ref="A398:D398"/>
    <mergeCell ref="E398:F398"/>
    <mergeCell ref="M398:P398"/>
    <mergeCell ref="A399:H399"/>
    <mergeCell ref="I399:J399"/>
    <mergeCell ref="K399:L399"/>
    <mergeCell ref="M399:P399"/>
    <mergeCell ref="G398:L398"/>
    <mergeCell ref="S407:V407"/>
    <mergeCell ref="A408:D408"/>
    <mergeCell ref="E408:H408"/>
    <mergeCell ref="I408:L408"/>
    <mergeCell ref="M408:Q408"/>
    <mergeCell ref="A409:Q409"/>
    <mergeCell ref="A404:J405"/>
    <mergeCell ref="K404:O404"/>
    <mergeCell ref="K405:O405"/>
    <mergeCell ref="A406:Q406"/>
    <mergeCell ref="A407:D407"/>
    <mergeCell ref="E407:H407"/>
    <mergeCell ref="I407:L407"/>
    <mergeCell ref="M407:Q407"/>
    <mergeCell ref="A413:Q413"/>
    <mergeCell ref="A414:Q415"/>
    <mergeCell ref="A416:Q416"/>
    <mergeCell ref="A417:Q418"/>
    <mergeCell ref="A419:Q419"/>
    <mergeCell ref="A420:L420"/>
    <mergeCell ref="M420:Q420"/>
    <mergeCell ref="A410:L410"/>
    <mergeCell ref="M410:Q410"/>
    <mergeCell ref="A411:L411"/>
    <mergeCell ref="M411:Q411"/>
    <mergeCell ref="A412:L412"/>
    <mergeCell ref="M412:Q412"/>
    <mergeCell ref="A428:Q428"/>
    <mergeCell ref="A429:Q430"/>
    <mergeCell ref="A431:Q431"/>
    <mergeCell ref="A432:Q433"/>
    <mergeCell ref="A435:M435"/>
    <mergeCell ref="N435:Q435"/>
    <mergeCell ref="A421:L421"/>
    <mergeCell ref="M421:Q421"/>
    <mergeCell ref="A422:Q422"/>
    <mergeCell ref="A423:Q424"/>
    <mergeCell ref="A425:Q425"/>
    <mergeCell ref="A426:Q427"/>
    <mergeCell ref="A434:Q434"/>
    <mergeCell ref="A439:D439"/>
    <mergeCell ref="E439:L439"/>
    <mergeCell ref="M439:P439"/>
    <mergeCell ref="A440:D440"/>
    <mergeCell ref="E440:F440"/>
    <mergeCell ref="G440:L440"/>
    <mergeCell ref="M440:P440"/>
    <mergeCell ref="A436:M436"/>
    <mergeCell ref="A437:D437"/>
    <mergeCell ref="E437:L437"/>
    <mergeCell ref="N437:Q437"/>
    <mergeCell ref="A438:D438"/>
    <mergeCell ref="E438:L438"/>
    <mergeCell ref="M438:P438"/>
    <mergeCell ref="A443:J443"/>
    <mergeCell ref="K443:N444"/>
    <mergeCell ref="O443:Q443"/>
    <mergeCell ref="A444:J445"/>
    <mergeCell ref="K445:O445"/>
    <mergeCell ref="A446:J446"/>
    <mergeCell ref="K446:O446"/>
    <mergeCell ref="A441:D441"/>
    <mergeCell ref="E441:F441"/>
    <mergeCell ref="M441:P441"/>
    <mergeCell ref="A442:H442"/>
    <mergeCell ref="I442:J442"/>
    <mergeCell ref="K442:L442"/>
    <mergeCell ref="M442:P442"/>
    <mergeCell ref="G441:L441"/>
    <mergeCell ref="S450:V450"/>
    <mergeCell ref="A451:D451"/>
    <mergeCell ref="E451:H451"/>
    <mergeCell ref="I451:L451"/>
    <mergeCell ref="M451:Q451"/>
    <mergeCell ref="A452:Q452"/>
    <mergeCell ref="A447:J448"/>
    <mergeCell ref="K447:O447"/>
    <mergeCell ref="K448:O448"/>
    <mergeCell ref="A449:Q449"/>
    <mergeCell ref="A450:D450"/>
    <mergeCell ref="E450:H450"/>
    <mergeCell ref="I450:L450"/>
    <mergeCell ref="M450:Q450"/>
    <mergeCell ref="A456:Q456"/>
    <mergeCell ref="A457:Q458"/>
    <mergeCell ref="A459:Q459"/>
    <mergeCell ref="A460:Q461"/>
    <mergeCell ref="A462:Q462"/>
    <mergeCell ref="A463:L463"/>
    <mergeCell ref="M463:Q463"/>
    <mergeCell ref="A453:L453"/>
    <mergeCell ref="M453:Q453"/>
    <mergeCell ref="A454:L454"/>
    <mergeCell ref="M454:Q454"/>
    <mergeCell ref="A455:L455"/>
    <mergeCell ref="M455:Q455"/>
    <mergeCell ref="A471:Q471"/>
    <mergeCell ref="A472:Q473"/>
    <mergeCell ref="A474:Q474"/>
    <mergeCell ref="A475:Q476"/>
    <mergeCell ref="A478:M478"/>
    <mergeCell ref="N478:Q478"/>
    <mergeCell ref="A464:L464"/>
    <mergeCell ref="M464:Q464"/>
    <mergeCell ref="A465:Q465"/>
    <mergeCell ref="A466:Q467"/>
    <mergeCell ref="A468:Q468"/>
    <mergeCell ref="A469:Q470"/>
    <mergeCell ref="A477:Q477"/>
    <mergeCell ref="A482:D482"/>
    <mergeCell ref="E482:L482"/>
    <mergeCell ref="M482:P482"/>
    <mergeCell ref="A483:D483"/>
    <mergeCell ref="E483:F483"/>
    <mergeCell ref="G483:L483"/>
    <mergeCell ref="M483:P483"/>
    <mergeCell ref="A479:M479"/>
    <mergeCell ref="A480:D480"/>
    <mergeCell ref="E480:L480"/>
    <mergeCell ref="N480:Q480"/>
    <mergeCell ref="A481:D481"/>
    <mergeCell ref="E481:L481"/>
    <mergeCell ref="M481:P481"/>
    <mergeCell ref="A486:J486"/>
    <mergeCell ref="K486:N487"/>
    <mergeCell ref="O486:Q486"/>
    <mergeCell ref="A487:J488"/>
    <mergeCell ref="K488:O488"/>
    <mergeCell ref="A489:J489"/>
    <mergeCell ref="K489:O489"/>
    <mergeCell ref="A484:D484"/>
    <mergeCell ref="E484:F484"/>
    <mergeCell ref="M484:P484"/>
    <mergeCell ref="A485:H485"/>
    <mergeCell ref="I485:J485"/>
    <mergeCell ref="K485:L485"/>
    <mergeCell ref="M485:P485"/>
    <mergeCell ref="G484:L484"/>
    <mergeCell ref="M498:Q498"/>
    <mergeCell ref="S493:V493"/>
    <mergeCell ref="A494:D494"/>
    <mergeCell ref="E494:H494"/>
    <mergeCell ref="I494:L494"/>
    <mergeCell ref="M494:Q494"/>
    <mergeCell ref="A495:Q495"/>
    <mergeCell ref="A490:J491"/>
    <mergeCell ref="K490:O490"/>
    <mergeCell ref="K491:O491"/>
    <mergeCell ref="A492:Q492"/>
    <mergeCell ref="A493:D493"/>
    <mergeCell ref="E493:H493"/>
    <mergeCell ref="I493:L493"/>
    <mergeCell ref="M493:Q493"/>
    <mergeCell ref="A520:R520"/>
    <mergeCell ref="BA1:BC1"/>
    <mergeCell ref="A514:Q514"/>
    <mergeCell ref="A515:Q516"/>
    <mergeCell ref="A517:Q517"/>
    <mergeCell ref="A518:Q519"/>
    <mergeCell ref="A507:L507"/>
    <mergeCell ref="M507:Q507"/>
    <mergeCell ref="A508:Q508"/>
    <mergeCell ref="A509:Q510"/>
    <mergeCell ref="A511:Q511"/>
    <mergeCell ref="A512:Q513"/>
    <mergeCell ref="A499:Q499"/>
    <mergeCell ref="A500:Q501"/>
    <mergeCell ref="A502:Q502"/>
    <mergeCell ref="A503:Q504"/>
    <mergeCell ref="A505:Q505"/>
    <mergeCell ref="A506:L506"/>
    <mergeCell ref="M506:Q506"/>
    <mergeCell ref="A496:L496"/>
    <mergeCell ref="M496:Q496"/>
    <mergeCell ref="A497:L497"/>
    <mergeCell ref="M497:Q497"/>
    <mergeCell ref="A498:L498"/>
  </mergeCells>
  <conditionalFormatting sqref="K1">
    <cfRule type="cellIs" dxfId="55" priority="54" stopIfTrue="1" operator="notEqual">
      <formula>$AD$14</formula>
    </cfRule>
  </conditionalFormatting>
  <conditionalFormatting sqref="E7:L7">
    <cfRule type="expression" dxfId="54" priority="53" stopIfTrue="1">
      <formula>IF($AA$14="X",TRUE,FALSE)</formula>
    </cfRule>
  </conditionalFormatting>
  <conditionalFormatting sqref="E8:L8">
    <cfRule type="expression" dxfId="53" priority="52" stopIfTrue="1">
      <formula>IF($AA$14="X",TRUE,FALSE)</formula>
    </cfRule>
  </conditionalFormatting>
  <conditionalFormatting sqref="E9:L9">
    <cfRule type="expression" dxfId="52" priority="51" stopIfTrue="1">
      <formula>IF($AA$14="X",TRUE,FALSE)</formula>
    </cfRule>
  </conditionalFormatting>
  <conditionalFormatting sqref="E10:F10">
    <cfRule type="expression" dxfId="51" priority="50" stopIfTrue="1">
      <formula>IF($AA$14="X",TRUE,FALSE)</formula>
    </cfRule>
  </conditionalFormatting>
  <conditionalFormatting sqref="E11:F11">
    <cfRule type="expression" dxfId="50" priority="49" stopIfTrue="1">
      <formula>IF($AA$14="X",TRUE,FALSE)</formula>
    </cfRule>
  </conditionalFormatting>
  <conditionalFormatting sqref="I12:J12">
    <cfRule type="expression" dxfId="49" priority="48" stopIfTrue="1">
      <formula>IF($AA$14="X",TRUE,FALSE)</formula>
    </cfRule>
  </conditionalFormatting>
  <conditionalFormatting sqref="A14:J15">
    <cfRule type="expression" dxfId="48" priority="47" stopIfTrue="1">
      <formula>IF($AA$14="X",TRUE,FALSE)</formula>
    </cfRule>
  </conditionalFormatting>
  <conditionalFormatting sqref="A17:J18">
    <cfRule type="expression" dxfId="47" priority="46" stopIfTrue="1">
      <formula>IF($AA$14="X",TRUE,FALSE)</formula>
    </cfRule>
  </conditionalFormatting>
  <conditionalFormatting sqref="P15">
    <cfRule type="expression" dxfId="46" priority="45" stopIfTrue="1">
      <formula>IF($AA$14="X",TRUE,FALSE)</formula>
    </cfRule>
  </conditionalFormatting>
  <conditionalFormatting sqref="Q15">
    <cfRule type="expression" dxfId="45" priority="44" stopIfTrue="1">
      <formula>IF($AA$14="X",TRUE,FALSE)</formula>
    </cfRule>
  </conditionalFormatting>
  <conditionalFormatting sqref="P16">
    <cfRule type="expression" dxfId="44" priority="43" stopIfTrue="1">
      <formula>IF($AA$14="X",TRUE,FALSE)</formula>
    </cfRule>
  </conditionalFormatting>
  <conditionalFormatting sqref="Q16">
    <cfRule type="expression" dxfId="43" priority="42" stopIfTrue="1">
      <formula>IF($AA$14="X",TRUE,FALSE)</formula>
    </cfRule>
  </conditionalFormatting>
  <conditionalFormatting sqref="P17">
    <cfRule type="expression" dxfId="42" priority="41" stopIfTrue="1">
      <formula>IF($AA$14="X",TRUE,FALSE)</formula>
    </cfRule>
  </conditionalFormatting>
  <conditionalFormatting sqref="Q17">
    <cfRule type="expression" dxfId="41" priority="40" stopIfTrue="1">
      <formula>IF($AA$14="X",TRUE,FALSE)</formula>
    </cfRule>
  </conditionalFormatting>
  <conditionalFormatting sqref="P18">
    <cfRule type="expression" dxfId="40" priority="39" stopIfTrue="1">
      <formula>IF($AA$14="X",TRUE,FALSE)</formula>
    </cfRule>
  </conditionalFormatting>
  <conditionalFormatting sqref="Q18">
    <cfRule type="expression" dxfId="39" priority="38" stopIfTrue="1">
      <formula>IF($AA$14="X",TRUE,FALSE)</formula>
    </cfRule>
  </conditionalFormatting>
  <conditionalFormatting sqref="A21:D21">
    <cfRule type="expression" dxfId="38" priority="37" stopIfTrue="1">
      <formula>IF($AA$14="X",TRUE,FALSE)</formula>
    </cfRule>
  </conditionalFormatting>
  <conditionalFormatting sqref="E21:H21">
    <cfRule type="expression" dxfId="37" priority="36" stopIfTrue="1">
      <formula>IF($AA$14="X",TRUE,FALSE)</formula>
    </cfRule>
  </conditionalFormatting>
  <conditionalFormatting sqref="I21:L21">
    <cfRule type="expression" dxfId="36" priority="35" stopIfTrue="1">
      <formula>IF($AA$14="X",TRUE,FALSE)</formula>
    </cfRule>
  </conditionalFormatting>
  <conditionalFormatting sqref="M21:Q21">
    <cfRule type="expression" dxfId="35" priority="34" stopIfTrue="1">
      <formula>IF($AA$14="X",TRUE,FALSE)</formula>
    </cfRule>
  </conditionalFormatting>
  <conditionalFormatting sqref="M23:Q23">
    <cfRule type="expression" dxfId="34" priority="33" stopIfTrue="1">
      <formula>IF($AA$14="X",TRUE,FALSE)</formula>
    </cfRule>
  </conditionalFormatting>
  <conditionalFormatting sqref="M24:Q24">
    <cfRule type="expression" dxfId="33" priority="32" stopIfTrue="1">
      <formula>IF($AA$14="X",TRUE,FALSE)</formula>
    </cfRule>
  </conditionalFormatting>
  <conditionalFormatting sqref="M25:Q25">
    <cfRule type="expression" dxfId="32" priority="31" stopIfTrue="1">
      <formula>IF($AA$14="X",TRUE,FALSE)</formula>
    </cfRule>
  </conditionalFormatting>
  <conditionalFormatting sqref="M33:Q33">
    <cfRule type="expression" dxfId="31" priority="30" stopIfTrue="1">
      <formula>IF($AA$14="X",TRUE,FALSE)</formula>
    </cfRule>
  </conditionalFormatting>
  <conditionalFormatting sqref="M34:Q34">
    <cfRule type="expression" dxfId="30" priority="29" stopIfTrue="1">
      <formula>IF($AA$14="X",TRUE,FALSE)</formula>
    </cfRule>
  </conditionalFormatting>
  <conditionalFormatting sqref="A27:Q28">
    <cfRule type="expression" dxfId="29" priority="28" stopIfTrue="1">
      <formula>IF($AA$14="X",TRUE,FALSE)</formula>
    </cfRule>
  </conditionalFormatting>
  <conditionalFormatting sqref="A30:Q31">
    <cfRule type="expression" dxfId="28" priority="27" stopIfTrue="1">
      <formula>IF($AA$14="X",TRUE,FALSE)</formula>
    </cfRule>
  </conditionalFormatting>
  <conditionalFormatting sqref="A36:Q37">
    <cfRule type="expression" dxfId="27" priority="26" stopIfTrue="1">
      <formula>IF($AA$14="X",TRUE,FALSE)</formula>
    </cfRule>
  </conditionalFormatting>
  <conditionalFormatting sqref="A39:Q40">
    <cfRule type="expression" dxfId="26" priority="25" stopIfTrue="1">
      <formula>IF($AA$14="X",TRUE,FALSE)</formula>
    </cfRule>
  </conditionalFormatting>
  <conditionalFormatting sqref="A42:Q43">
    <cfRule type="expression" dxfId="25" priority="24" stopIfTrue="1">
      <formula>IF($AA$14="X",TRUE,FALSE)</formula>
    </cfRule>
  </conditionalFormatting>
  <conditionalFormatting sqref="A45:Q46">
    <cfRule type="expression" dxfId="24" priority="23" stopIfTrue="1">
      <formula>IF($AA$14="X",TRUE,FALSE)</formula>
    </cfRule>
  </conditionalFormatting>
  <conditionalFormatting sqref="E53:F53">
    <cfRule type="expression" dxfId="23" priority="22" stopIfTrue="1">
      <formula>IF($AA$14="X",TRUE,FALSE)</formula>
    </cfRule>
  </conditionalFormatting>
  <conditionalFormatting sqref="E54:F54">
    <cfRule type="expression" dxfId="22" priority="21" stopIfTrue="1">
      <formula>IF($AA$14="X",TRUE,FALSE)</formula>
    </cfRule>
  </conditionalFormatting>
  <conditionalFormatting sqref="E96:F96">
    <cfRule type="expression" dxfId="21" priority="20" stopIfTrue="1">
      <formula>IF($AA$14="X",TRUE,FALSE)</formula>
    </cfRule>
  </conditionalFormatting>
  <conditionalFormatting sqref="E97:F97">
    <cfRule type="expression" dxfId="20" priority="19" stopIfTrue="1">
      <formula>IF($AA$14="X",TRUE,FALSE)</formula>
    </cfRule>
  </conditionalFormatting>
  <conditionalFormatting sqref="E139:F139">
    <cfRule type="expression" dxfId="19" priority="18" stopIfTrue="1">
      <formula>IF($AA$14="X",TRUE,FALSE)</formula>
    </cfRule>
  </conditionalFormatting>
  <conditionalFormatting sqref="E140:F140">
    <cfRule type="expression" dxfId="18" priority="17" stopIfTrue="1">
      <formula>IF($AA$14="X",TRUE,FALSE)</formula>
    </cfRule>
  </conditionalFormatting>
  <conditionalFormatting sqref="E182:F182">
    <cfRule type="expression" dxfId="17" priority="16" stopIfTrue="1">
      <formula>IF($AA$14="X",TRUE,FALSE)</formula>
    </cfRule>
  </conditionalFormatting>
  <conditionalFormatting sqref="E183:F183">
    <cfRule type="expression" dxfId="16" priority="15" stopIfTrue="1">
      <formula>IF($AA$14="X",TRUE,FALSE)</formula>
    </cfRule>
  </conditionalFormatting>
  <conditionalFormatting sqref="E225:F225">
    <cfRule type="expression" dxfId="15" priority="14" stopIfTrue="1">
      <formula>IF($AA$14="X",TRUE,FALSE)</formula>
    </cfRule>
  </conditionalFormatting>
  <conditionalFormatting sqref="E226:F226">
    <cfRule type="expression" dxfId="14" priority="13" stopIfTrue="1">
      <formula>IF($AA$14="X",TRUE,FALSE)</formula>
    </cfRule>
  </conditionalFormatting>
  <conditionalFormatting sqref="E268:F268">
    <cfRule type="expression" dxfId="13" priority="12" stopIfTrue="1">
      <formula>IF($AA$14="X",TRUE,FALSE)</formula>
    </cfRule>
  </conditionalFormatting>
  <conditionalFormatting sqref="E269:F269">
    <cfRule type="expression" dxfId="12" priority="11" stopIfTrue="1">
      <formula>IF($AA$14="X",TRUE,FALSE)</formula>
    </cfRule>
  </conditionalFormatting>
  <conditionalFormatting sqref="E311:F311">
    <cfRule type="expression" dxfId="11" priority="10" stopIfTrue="1">
      <formula>IF($AA$14="X",TRUE,FALSE)</formula>
    </cfRule>
  </conditionalFormatting>
  <conditionalFormatting sqref="E312:F312">
    <cfRule type="expression" dxfId="10" priority="9" stopIfTrue="1">
      <formula>IF($AA$14="X",TRUE,FALSE)</formula>
    </cfRule>
  </conditionalFormatting>
  <conditionalFormatting sqref="E354:F354">
    <cfRule type="expression" dxfId="9" priority="8" stopIfTrue="1">
      <formula>IF($AA$14="X",TRUE,FALSE)</formula>
    </cfRule>
  </conditionalFormatting>
  <conditionalFormatting sqref="E355:F355">
    <cfRule type="expression" dxfId="8" priority="7" stopIfTrue="1">
      <formula>IF($AA$14="X",TRUE,FALSE)</formula>
    </cfRule>
  </conditionalFormatting>
  <conditionalFormatting sqref="E397:F397">
    <cfRule type="expression" dxfId="7" priority="6" stopIfTrue="1">
      <formula>IF($AA$14="X",TRUE,FALSE)</formula>
    </cfRule>
  </conditionalFormatting>
  <conditionalFormatting sqref="E398:F398">
    <cfRule type="expression" dxfId="6" priority="5" stopIfTrue="1">
      <formula>IF($AA$14="X",TRUE,FALSE)</formula>
    </cfRule>
  </conditionalFormatting>
  <conditionalFormatting sqref="E440:F440">
    <cfRule type="expression" dxfId="5" priority="4" stopIfTrue="1">
      <formula>IF($AA$14="X",TRUE,FALSE)</formula>
    </cfRule>
  </conditionalFormatting>
  <conditionalFormatting sqref="E441:F441">
    <cfRule type="expression" dxfId="4" priority="3" stopIfTrue="1">
      <formula>IF($AA$14="X",TRUE,FALSE)</formula>
    </cfRule>
  </conditionalFormatting>
  <conditionalFormatting sqref="E483:F483">
    <cfRule type="expression" dxfId="3" priority="2" stopIfTrue="1">
      <formula>IF($AA$14="X",TRUE,FALSE)</formula>
    </cfRule>
  </conditionalFormatting>
  <conditionalFormatting sqref="E484:F484">
    <cfRule type="expression" dxfId="2" priority="1" stopIfTrue="1">
      <formula>IF($AA$14="X",TRUE,FALSE)</formula>
    </cfRule>
  </conditionalFormatting>
  <dataValidations count="13">
    <dataValidation allowBlank="1" showInputMessage="1" showErrorMessage="1" promptTitle="Parters" prompt="Please enter the names of all Partners involved in this Collaboration" sqref="AA47:AC47 X38:Z38 W42" xr:uid="{00000000-0002-0000-0F00-000000000000}"/>
    <dataValidation allowBlank="1" showInputMessage="1" showErrorMessage="1" promptTitle="Involvment" prompt="Please describe the level and type of involvement each Partner has in this Collaborative" sqref="AA48:AC49 Y39:Z39" xr:uid="{00000000-0002-0000-0F00-000001000000}"/>
    <dataValidation allowBlank="1" showInputMessage="1" showErrorMessage="1" promptTitle="Other" prompt="Please enter any other relevant information about this Collaborative Arrangement" sqref="AA50:AC51 Y40:Z40" xr:uid="{00000000-0002-0000-0F00-000002000000}"/>
    <dataValidation type="list" allowBlank="1" showInputMessage="1" showErrorMessage="1" sqref="M497:Q497 M67:Q67 M110:Q110 M153:Q153 M196:Q196 M239:Q239 M282:Q282 M325:Q325 M368:Q368 M411:Q411 M454:Q454 M24:Q24" xr:uid="{00000000-0002-0000-0F00-000003000000}">
      <formula1>ValidCapacity</formula1>
    </dataValidation>
    <dataValidation type="list" allowBlank="1" showInputMessage="1" showErrorMessage="1" sqref="M498:Q498 M68:Q68 M111:Q111 M154:Q154 M197:Q197 M240:Q240 M283:Q283 M326:Q326 M369:Q369 M412:Q412 M455:Q455 M25:Q25" xr:uid="{00000000-0002-0000-0F00-000004000000}">
      <formula1>ValidPriorCap</formula1>
    </dataValidation>
    <dataValidation type="list" allowBlank="1" showInputMessage="1" showErrorMessage="1" sqref="A494:D494 A64:D64 A107:D107 A150:D150 A193:D193 A236:D236 A279:D279 A322:D322 A365:D365 A408:D408 A451:D451 A21:D21" xr:uid="{00000000-0002-0000-0F00-000005000000}">
      <formula1>ValidProjType</formula1>
    </dataValidation>
    <dataValidation type="list" allowBlank="1" showInputMessage="1" showErrorMessage="1" sqref="E494:H494 E64:H64 E107:H107 E150:H150 E193:H193 E236:H236 E279:H279 E322:H322 E365:H365 E408:H408 E451:H451 E21:H21" xr:uid="{00000000-0002-0000-0F00-000006000000}">
      <formula1>ValidSubtype1</formula1>
    </dataValidation>
    <dataValidation type="list" allowBlank="1" showInputMessage="1" showErrorMessage="1" sqref="I494:L494 I64:L64 I107:L107 I150:L150 I193:L193 I236:L236 I279:L279 I322:L322 I365:L365 I408:L408 I451:L451 I21:L21" xr:uid="{00000000-0002-0000-0F00-000007000000}">
      <formula1>ValidSubtype2</formula1>
    </dataValidation>
    <dataValidation type="list" allowBlank="1" showInputMessage="1" showErrorMessage="1" sqref="M21:Q21 M64:Q64 M107:Q107 M150:Q150 M193:Q193 M236:Q236 M279:Q279 M322:Q322 M365:Q365 M408:Q408 M451:Q451 M494:Q494" xr:uid="{00000000-0002-0000-0F00-000008000000}">
      <formula1>ValidSubtype3</formula1>
    </dataValidation>
    <dataValidation allowBlank="1" showInputMessage="1" showErrorMessage="1" promptTitle="Title" sqref="X15:Z15" xr:uid="{00000000-0002-0000-0F00-000009000000}"/>
    <dataValidation type="list" allowBlank="1" showInputMessage="1" showErrorMessage="1" sqref="M506 M76 M119 M162 M205 M248 M291 M334 M377 M420 M463 M33:Q33" xr:uid="{00000000-0002-0000-0F00-00000A000000}">
      <formula1>ValidImpact</formula1>
    </dataValidation>
    <dataValidation type="list" allowBlank="1" showInputMessage="1" showErrorMessage="1" sqref="M507 M77 M120 M163 M206 M249 M292 M335 M378 M421 M464 M34:Q34" xr:uid="{00000000-0002-0000-0F00-00000B000000}">
      <formula1>ValidEvidence</formula1>
    </dataValidation>
    <dataValidation type="list" allowBlank="1" showInputMessage="1" showErrorMessage="1" sqref="M496:Q496 M66:Q66 M109:Q109 M152:Q152 M195:Q195 M238:Q238 M281:Q281 M324:Q324 M367:Q367 M410:Q410 M453:Q453 M23:Q23" xr:uid="{00000000-0002-0000-0F00-00000C000000}">
      <formula1>ValidRemote</formula1>
    </dataValidation>
  </dataValidations>
  <hyperlinks>
    <hyperlink ref="A6:I6" location="cap_exp_contact" display="cap_exp_contact" xr:uid="{00000000-0004-0000-0F00-000000000000}"/>
    <hyperlink ref="I2:M2" location="def_exceptions" display="Retrospective Review reporting exceptions" xr:uid="{00000000-0004-0000-0F00-000001000000}"/>
    <hyperlink ref="G10:L10" location="def_date_of_spending_commitment" display="Definition of Spending Commitment Date" xr:uid="{00000000-0004-0000-0F00-000002000000}"/>
    <hyperlink ref="O13" location="def_exceptions" display="Definition" xr:uid="{00000000-0004-0000-0F00-000003000000}"/>
    <hyperlink ref="O13:Q13" location="def_exceptions" display="Exceptions Definitions" xr:uid="{00000000-0004-0000-0F00-000004000000}"/>
    <hyperlink ref="A49:I49" location="cap_exp_contact" display="cap_exp_contact" xr:uid="{00000000-0004-0000-0F00-000005000000}"/>
    <hyperlink ref="G53:L53" location="def_date_of_spending_commitment" display="Definition of Spending Commitment Date" xr:uid="{00000000-0004-0000-0F00-000006000000}"/>
    <hyperlink ref="O56" location="def_exceptions" display="Definition" xr:uid="{00000000-0004-0000-0F00-000007000000}"/>
    <hyperlink ref="O56:Q56" location="def_exceptions" display="Exceptions Definitions" xr:uid="{00000000-0004-0000-0F00-000008000000}"/>
    <hyperlink ref="A92:I92" location="cap_exp_contact" display="cap_exp_contact" xr:uid="{00000000-0004-0000-0F00-000009000000}"/>
    <hyperlink ref="G96:L96" location="def_date_of_spending_commitment" display="Definition of Spending Commitment Date" xr:uid="{00000000-0004-0000-0F00-00000A000000}"/>
    <hyperlink ref="O99" location="def_exceptions" display="Definition" xr:uid="{00000000-0004-0000-0F00-00000B000000}"/>
    <hyperlink ref="O99:Q99" location="def_exceptions" display="Exceptions Definitions" xr:uid="{00000000-0004-0000-0F00-00000C000000}"/>
    <hyperlink ref="A135:I135" location="cap_exp_contact" display="cap_exp_contact" xr:uid="{00000000-0004-0000-0F00-00000D000000}"/>
    <hyperlink ref="G139:L139" location="def_date_of_spending_commitment" display="Definition of Spending Commitment Date" xr:uid="{00000000-0004-0000-0F00-00000E000000}"/>
    <hyperlink ref="O142" location="def_exceptions" display="Definition" xr:uid="{00000000-0004-0000-0F00-00000F000000}"/>
    <hyperlink ref="O142:Q142" location="def_exceptions" display="Exceptions Definitions" xr:uid="{00000000-0004-0000-0F00-000010000000}"/>
    <hyperlink ref="A178:I178" location="cap_exp_contact" display="cap_exp_contact" xr:uid="{00000000-0004-0000-0F00-000011000000}"/>
    <hyperlink ref="G182:L182" location="def_date_of_spending_commitment" display="Definition of Spending Commitment Date" xr:uid="{00000000-0004-0000-0F00-000012000000}"/>
    <hyperlink ref="O185" location="def_exceptions" display="Definition" xr:uid="{00000000-0004-0000-0F00-000013000000}"/>
    <hyperlink ref="O185:Q185" location="def_exceptions" display="Exceptions Definitions" xr:uid="{00000000-0004-0000-0F00-000014000000}"/>
    <hyperlink ref="A221:I221" location="cap_exp_contact" display="cap_exp_contact" xr:uid="{00000000-0004-0000-0F00-000015000000}"/>
    <hyperlink ref="G225:L225" location="def_date_of_spending_commitment" display="Definition of Spending Commitment Date" xr:uid="{00000000-0004-0000-0F00-000016000000}"/>
    <hyperlink ref="O228" location="def_exceptions" display="Definition" xr:uid="{00000000-0004-0000-0F00-000017000000}"/>
    <hyperlink ref="O228:Q228" location="def_exceptions" display="Exceptions Definitions" xr:uid="{00000000-0004-0000-0F00-000018000000}"/>
    <hyperlink ref="A264:I264" location="cap_exp_contact" display="cap_exp_contact" xr:uid="{00000000-0004-0000-0F00-000019000000}"/>
    <hyperlink ref="G268:L268" location="def_date_of_spending_commitment" display="Definition of Spending Commitment Date" xr:uid="{00000000-0004-0000-0F00-00001A000000}"/>
    <hyperlink ref="O271" location="def_exceptions" display="Definition" xr:uid="{00000000-0004-0000-0F00-00001B000000}"/>
    <hyperlink ref="O271:Q271" location="def_exceptions" display="Exceptions Definitions" xr:uid="{00000000-0004-0000-0F00-00001C000000}"/>
    <hyperlink ref="A307:I307" location="cap_exp_contact" display="cap_exp_contact" xr:uid="{00000000-0004-0000-0F00-00001D000000}"/>
    <hyperlink ref="G311:L311" location="def_date_of_spending_commitment" display="Definition of Spending Commitment Date" xr:uid="{00000000-0004-0000-0F00-00001E000000}"/>
    <hyperlink ref="O314" location="def_exceptions" display="Definition" xr:uid="{00000000-0004-0000-0F00-00001F000000}"/>
    <hyperlink ref="O314:Q314" location="def_exceptions" display="Exceptions Definitions" xr:uid="{00000000-0004-0000-0F00-000020000000}"/>
    <hyperlink ref="A350:I350" location="cap_exp_contact" display="cap_exp_contact" xr:uid="{00000000-0004-0000-0F00-000021000000}"/>
    <hyperlink ref="G354:L354" location="def_date_of_spending_commitment" display="Definition of Spending Commitment Date" xr:uid="{00000000-0004-0000-0F00-000022000000}"/>
    <hyperlink ref="O357" location="def_exceptions" display="Definition" xr:uid="{00000000-0004-0000-0F00-000023000000}"/>
    <hyperlink ref="O357:Q357" location="def_exceptions" display="Exceptions Definitions" xr:uid="{00000000-0004-0000-0F00-000024000000}"/>
    <hyperlink ref="A393:I393" location="cap_exp_contact" display="cap_exp_contact" xr:uid="{00000000-0004-0000-0F00-000025000000}"/>
    <hyperlink ref="G397:L397" location="def_date_of_spending_commitment" display="Definition of Spending Commitment Date" xr:uid="{00000000-0004-0000-0F00-000026000000}"/>
    <hyperlink ref="O400" location="def_exceptions" display="Definition" xr:uid="{00000000-0004-0000-0F00-000027000000}"/>
    <hyperlink ref="O400:Q400" location="def_exceptions" display="Exceptions Definitions" xr:uid="{00000000-0004-0000-0F00-000028000000}"/>
    <hyperlink ref="A436:I436" location="cap_exp_contact" display="cap_exp_contact" xr:uid="{00000000-0004-0000-0F00-000029000000}"/>
    <hyperlink ref="G440:L440" location="def_date_of_spending_commitment" display="Definition of Spending Commitment Date" xr:uid="{00000000-0004-0000-0F00-00002A000000}"/>
    <hyperlink ref="O443" location="def_exceptions" display="Definition" xr:uid="{00000000-0004-0000-0F00-00002B000000}"/>
    <hyperlink ref="O443:Q443" location="def_exceptions" display="Exceptions Definitions" xr:uid="{00000000-0004-0000-0F00-00002C000000}"/>
    <hyperlink ref="A479:I479" location="cap_exp_contact" display="cap_exp_contact" xr:uid="{00000000-0004-0000-0F00-00002D000000}"/>
    <hyperlink ref="G483:L483" location="def_date_of_spending_commitment" display="Definition of Spending Commitment Date" xr:uid="{00000000-0004-0000-0F00-00002E000000}"/>
    <hyperlink ref="O486" location="def_exceptions" display="Definition" xr:uid="{00000000-0004-0000-0F00-00002F000000}"/>
    <hyperlink ref="O486:Q486" location="def_exceptions" display="Exceptions Definitions" xr:uid="{00000000-0004-0000-0F00-000030000000}"/>
  </hyperlinks>
  <printOptions horizontalCentered="1"/>
  <pageMargins left="0.75" right="0.75" top="1" bottom="1" header="0.5" footer="0.5"/>
  <pageSetup scale="51" fitToHeight="12" orientation="portrait" r:id="rId1"/>
  <headerFooter alignWithMargins="0">
    <oddFooter>&amp;L&amp;"Calibri,Regular"Diagnostic Imaging Facility Utilization Report
Fiscal Year 2024
&amp;C&amp;"Calibri,Regular"&amp;P of &amp;N&amp;R&amp;"Calibri,Regular"Minnesota Department of Health
Phone 651-201-3572
health.hccis@state.mn.us</oddFooter>
  </headerFooter>
  <rowBreaks count="11" manualBreakCount="11">
    <brk id="46" max="16" man="1"/>
    <brk id="89" max="16" man="1"/>
    <brk id="132" max="16" man="1"/>
    <brk id="175" max="16" man="1"/>
    <brk id="218" max="16" man="1"/>
    <brk id="261" max="16" man="1"/>
    <brk id="304" max="16" man="1"/>
    <brk id="347" max="16" man="1"/>
    <brk id="390" max="16" man="1"/>
    <brk id="433" max="16" man="1"/>
    <brk id="476" max="16"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F32"/>
  <sheetViews>
    <sheetView zoomScaleNormal="100" zoomScaleSheetLayoutView="75" workbookViewId="0">
      <selection sqref="A1:K1"/>
    </sheetView>
  </sheetViews>
  <sheetFormatPr defaultColWidth="0" defaultRowHeight="12.75" zeroHeight="1" x14ac:dyDescent="0.2"/>
  <cols>
    <col min="1" max="1" width="79.28515625" style="411" customWidth="1"/>
    <col min="2" max="2" width="9.140625" style="402" customWidth="1"/>
    <col min="3" max="3" width="11.7109375" style="402" customWidth="1"/>
    <col min="4" max="5" width="9.140625" style="402" hidden="1" customWidth="1"/>
    <col min="6" max="6" width="5.42578125" style="402" hidden="1" customWidth="1"/>
    <col min="7" max="16384" width="9.140625" style="402" hidden="1"/>
  </cols>
  <sheetData>
    <row r="1" spans="1:6" ht="36" customHeight="1" x14ac:dyDescent="0.2">
      <c r="A1" s="1415" t="str">
        <f>CONCATENATE('Demog Contact'!L1," Diagnostic Imaging Facility Utilization Report Definitions")</f>
        <v>2024 Diagnostic Imaging Facility Utilization Report Definitions</v>
      </c>
      <c r="B1" s="1416"/>
      <c r="C1" s="1417"/>
    </row>
    <row r="2" spans="1:6" ht="33.75" customHeight="1" x14ac:dyDescent="0.2">
      <c r="A2" s="1418" t="s">
        <v>766</v>
      </c>
      <c r="B2" s="1419"/>
      <c r="C2" s="1420"/>
    </row>
    <row r="3" spans="1:6" ht="39" customHeight="1" x14ac:dyDescent="0.2">
      <c r="A3" s="403" t="s">
        <v>680</v>
      </c>
      <c r="B3" s="867"/>
      <c r="C3" s="1421"/>
    </row>
    <row r="4" spans="1:6" ht="70.5" customHeight="1" x14ac:dyDescent="0.2">
      <c r="A4" s="404" t="s">
        <v>681</v>
      </c>
      <c r="B4" s="1422" t="s">
        <v>238</v>
      </c>
      <c r="C4" s="1423"/>
    </row>
    <row r="5" spans="1:6" ht="51" x14ac:dyDescent="0.2">
      <c r="A5" s="405" t="s">
        <v>682</v>
      </c>
      <c r="B5" s="1433"/>
      <c r="C5" s="1444"/>
    </row>
    <row r="6" spans="1:6" ht="16.5" customHeight="1" x14ac:dyDescent="0.2">
      <c r="A6" s="1430" t="s">
        <v>683</v>
      </c>
      <c r="B6" s="1445" t="s">
        <v>238</v>
      </c>
      <c r="C6" s="1446"/>
    </row>
    <row r="7" spans="1:6" ht="16.5" customHeight="1" x14ac:dyDescent="0.2">
      <c r="A7" s="1431"/>
      <c r="B7" s="1422" t="s">
        <v>239</v>
      </c>
      <c r="C7" s="1423"/>
    </row>
    <row r="8" spans="1:6" ht="16.5" customHeight="1" x14ac:dyDescent="0.2">
      <c r="A8" s="1431"/>
      <c r="B8" s="1422" t="s">
        <v>240</v>
      </c>
      <c r="C8" s="1423"/>
    </row>
    <row r="9" spans="1:6" ht="16.5" customHeight="1" x14ac:dyDescent="0.2">
      <c r="A9" s="1432"/>
      <c r="B9" s="1433" t="s">
        <v>241</v>
      </c>
      <c r="C9" s="1127"/>
    </row>
    <row r="10" spans="1:6" ht="203.25" customHeight="1" x14ac:dyDescent="0.2">
      <c r="A10" s="403" t="s">
        <v>684</v>
      </c>
      <c r="B10" s="1424" t="s">
        <v>242</v>
      </c>
      <c r="C10" s="1436"/>
      <c r="D10" s="316"/>
      <c r="E10" s="316"/>
      <c r="F10" s="316"/>
    </row>
    <row r="11" spans="1:6" ht="32.25" customHeight="1" x14ac:dyDescent="0.2">
      <c r="A11" s="405" t="s">
        <v>685</v>
      </c>
      <c r="B11" s="1434" t="s">
        <v>243</v>
      </c>
      <c r="C11" s="1435"/>
    </row>
    <row r="12" spans="1:6" ht="33.75" customHeight="1" x14ac:dyDescent="0.2">
      <c r="A12" s="405" t="s">
        <v>686</v>
      </c>
      <c r="B12" s="1434" t="s">
        <v>244</v>
      </c>
      <c r="C12" s="1435"/>
    </row>
    <row r="13" spans="1:6" ht="45.75" customHeight="1" thickBot="1" x14ac:dyDescent="0.25">
      <c r="A13" s="406" t="s">
        <v>687</v>
      </c>
      <c r="B13" s="1439" t="s">
        <v>245</v>
      </c>
      <c r="C13" s="1440"/>
    </row>
    <row r="14" spans="1:6" ht="36.75" customHeight="1" x14ac:dyDescent="0.2">
      <c r="A14" s="405" t="s">
        <v>688</v>
      </c>
      <c r="B14" s="1426" t="s">
        <v>246</v>
      </c>
      <c r="C14" s="1427"/>
      <c r="D14" s="316"/>
      <c r="E14" s="316"/>
    </row>
    <row r="15" spans="1:6" ht="174" customHeight="1" x14ac:dyDescent="0.2">
      <c r="A15" s="407" t="s">
        <v>689</v>
      </c>
      <c r="B15" s="1428"/>
      <c r="C15" s="1429"/>
    </row>
    <row r="16" spans="1:6" ht="30.75" customHeight="1" x14ac:dyDescent="0.2">
      <c r="A16" s="403" t="s">
        <v>690</v>
      </c>
      <c r="B16" s="1443" t="s">
        <v>196</v>
      </c>
      <c r="C16" s="1436"/>
      <c r="D16" s="408"/>
    </row>
    <row r="17" spans="1:5" ht="156.75" customHeight="1" x14ac:dyDescent="0.2">
      <c r="A17" s="403" t="s">
        <v>691</v>
      </c>
      <c r="B17" s="1424" t="s">
        <v>233</v>
      </c>
      <c r="C17" s="1425"/>
    </row>
    <row r="18" spans="1:5" ht="30" customHeight="1" x14ac:dyDescent="0.2">
      <c r="A18" s="403" t="s">
        <v>692</v>
      </c>
      <c r="B18" s="1447" t="s">
        <v>752</v>
      </c>
      <c r="C18" s="1448"/>
      <c r="D18" s="316"/>
      <c r="E18" s="316"/>
    </row>
    <row r="19" spans="1:5" ht="30" customHeight="1" x14ac:dyDescent="0.2">
      <c r="A19" s="405" t="s">
        <v>693</v>
      </c>
      <c r="B19" s="1449" t="s">
        <v>752</v>
      </c>
      <c r="C19" s="1450"/>
      <c r="D19" s="316"/>
      <c r="E19" s="316"/>
    </row>
    <row r="20" spans="1:5" ht="30" customHeight="1" x14ac:dyDescent="0.2">
      <c r="A20" s="403" t="s">
        <v>694</v>
      </c>
      <c r="B20" s="1441" t="s">
        <v>752</v>
      </c>
      <c r="C20" s="1442"/>
      <c r="D20" s="75"/>
    </row>
    <row r="21" spans="1:5" ht="233.25" customHeight="1" thickBot="1" x14ac:dyDescent="0.25">
      <c r="A21" s="409" t="s">
        <v>695</v>
      </c>
      <c r="B21" s="1437" t="s">
        <v>247</v>
      </c>
      <c r="C21" s="1438"/>
      <c r="D21" s="316"/>
    </row>
    <row r="22" spans="1:5" ht="10.5" customHeight="1" x14ac:dyDescent="0.2">
      <c r="A22" s="1414" t="s">
        <v>757</v>
      </c>
      <c r="B22" s="1414"/>
      <c r="C22" s="1414"/>
      <c r="D22" s="75"/>
    </row>
    <row r="23" spans="1:5" ht="15.75" hidden="1" x14ac:dyDescent="0.25">
      <c r="A23" s="410"/>
      <c r="D23" s="316"/>
    </row>
    <row r="24" spans="1:5" ht="15.75" hidden="1" x14ac:dyDescent="0.25">
      <c r="A24" s="410"/>
      <c r="D24" s="75"/>
    </row>
    <row r="25" spans="1:5" ht="15.75" hidden="1" x14ac:dyDescent="0.25">
      <c r="A25" s="410"/>
      <c r="D25" s="316"/>
    </row>
    <row r="26" spans="1:5" ht="15.75" hidden="1" x14ac:dyDescent="0.25">
      <c r="A26" s="410"/>
      <c r="D26" s="75"/>
    </row>
    <row r="28" spans="1:5" hidden="1" x14ac:dyDescent="0.2">
      <c r="D28" s="141"/>
    </row>
    <row r="30" spans="1:5" ht="32.25" hidden="1" customHeight="1" x14ac:dyDescent="0.2"/>
    <row r="32" spans="1:5" ht="40.5" hidden="1" customHeight="1" x14ac:dyDescent="0.2">
      <c r="A32" s="412"/>
    </row>
  </sheetData>
  <sheetProtection sheet="1" objects="1" scenarios="1"/>
  <mergeCells count="22">
    <mergeCell ref="B20:C20"/>
    <mergeCell ref="B16:C16"/>
    <mergeCell ref="B5:C5"/>
    <mergeCell ref="B6:C6"/>
    <mergeCell ref="B18:C18"/>
    <mergeCell ref="B19:C19"/>
    <mergeCell ref="A22:C22"/>
    <mergeCell ref="A1:C1"/>
    <mergeCell ref="A2:C2"/>
    <mergeCell ref="B3:C3"/>
    <mergeCell ref="B4:C4"/>
    <mergeCell ref="B17:C17"/>
    <mergeCell ref="B14:C15"/>
    <mergeCell ref="A6:A9"/>
    <mergeCell ref="B9:C9"/>
    <mergeCell ref="B11:C11"/>
    <mergeCell ref="B10:C10"/>
    <mergeCell ref="B12:C12"/>
    <mergeCell ref="B8:C8"/>
    <mergeCell ref="B7:C7"/>
    <mergeCell ref="B21:C21"/>
    <mergeCell ref="B13:C13"/>
  </mergeCells>
  <phoneticPr fontId="0" type="noConversion"/>
  <hyperlinks>
    <hyperlink ref="B4" location="demographic!D6" display="back to formset" xr:uid="{00000000-0004-0000-1000-000000000000}"/>
    <hyperlink ref="A6" r:id="rId1" xr:uid="{00000000-0004-0000-1000-000001000000}"/>
    <hyperlink ref="B11" location="fixed" display="back to formset" xr:uid="{00000000-0004-0000-1000-000002000000}"/>
    <hyperlink ref="B13" location="mobile" display="back to formset" xr:uid="{00000000-0004-0000-1000-000003000000}"/>
    <hyperlink ref="B12" location="portable" display="back to formset" xr:uid="{00000000-0004-0000-1000-000004000000}"/>
    <hyperlink ref="B14" location="code_7594" display="back to formset" xr:uid="{00000000-0004-0000-1000-000005000000}"/>
    <hyperlink ref="A2:C2" r:id="rId2" display="Please note as a result of the changes during the 2007 legislative session, some of these definitions have been changed, clarified, or new definitions have been added. See Minnesota Statutes 144.565." xr:uid="{00000000-0004-0000-1000-000006000000}"/>
    <hyperlink ref="B4:C4" location="demograpic" display="return to Demographic" xr:uid="{00000000-0004-0000-1000-000007000000}"/>
    <hyperlink ref="B16:C16" location="'Capital Expend Project Specific'!A1" display="Capital Expenditure Project Specific Tab" xr:uid="{00000000-0004-0000-1000-000008000000}"/>
    <hyperlink ref="B10:C10" location="'Economic Interest'!A1" display="Financial or Economic Interest" xr:uid="{00000000-0004-0000-1000-000009000000}"/>
    <hyperlink ref="B6:C6" location="NPI" display="Demographic Tab" xr:uid="{00000000-0004-0000-1000-00000A000000}"/>
    <hyperlink ref="B7:C7" location="'Mobile Locations'!A1" display="Mobile Locations" xr:uid="{00000000-0004-0000-1000-00000B000000}"/>
    <hyperlink ref="B8:C8" location="'Leased Equip'!A1" display="Leased Equipment" xr:uid="{00000000-0004-0000-1000-00000C000000}"/>
    <hyperlink ref="B9:C9" location="'Economic Interest'!A1" display="Economic Interest" xr:uid="{00000000-0004-0000-1000-00000D000000}"/>
    <hyperlink ref="B17:C17" r:id="rId3" location="stat.256B.0625" display="https://www.revisor.leg.state.mn.us/statutes/?id=256B.0625 - stat.256B.0625" xr:uid="{00000000-0004-0000-1000-00000E000000}"/>
    <hyperlink ref="B21:C21" location="'Capital Expend Project Specific'!A1" display="'Capital Expend Project Specific'!A1" xr:uid="{00000000-0004-0000-1000-00000F000000}"/>
  </hyperlinks>
  <printOptions horizontalCentered="1"/>
  <pageMargins left="0.75" right="0.75" top="1" bottom="1" header="0.5" footer="0.5"/>
  <pageSetup scale="51" fitToHeight="2" orientation="portrait" r:id="rId4"/>
  <headerFooter alignWithMargins="0">
    <oddFooter>&amp;L&amp;"Calibri,Regular"Diagnostic Imaging Facility Utilization Report
Fiscal Year 2024
&amp;C&amp;"Calibri,Regular"&amp;P of &amp;N&amp;R&amp;"Calibri,Regular"Minnesota Department of Health
Phone 651-201-3572
health.hccis@state.mn.us</oddFooter>
  </headerFooter>
  <rowBreaks count="1" manualBreakCount="1">
    <brk id="13" max="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indexed="46"/>
  </sheetPr>
  <dimension ref="A1:FH666"/>
  <sheetViews>
    <sheetView zoomScaleNormal="100" workbookViewId="0">
      <pane ySplit="2" topLeftCell="A3" activePane="bottomLeft" state="frozen"/>
      <selection sqref="A1:K1"/>
      <selection pane="bottomLeft" sqref="A1:C1"/>
    </sheetView>
  </sheetViews>
  <sheetFormatPr defaultColWidth="0" defaultRowHeight="12.75" zeroHeight="1" x14ac:dyDescent="0.2"/>
  <cols>
    <col min="1" max="1" width="12" style="91" customWidth="1"/>
    <col min="2" max="2" width="63.85546875" style="92" customWidth="1"/>
    <col min="3" max="3" width="26.28515625" style="92" customWidth="1"/>
    <col min="4" max="4" width="35.28515625" style="92" hidden="1" customWidth="1"/>
    <col min="5" max="5" width="14" style="92" hidden="1" customWidth="1"/>
    <col min="6" max="6" width="21.42578125" style="92" hidden="1" customWidth="1"/>
    <col min="7" max="7" width="5.7109375" style="92" hidden="1" customWidth="1"/>
    <col min="8" max="8" width="6" style="92" hidden="1" customWidth="1"/>
    <col min="9" max="9" width="5" style="92" hidden="1" customWidth="1"/>
    <col min="10" max="10" width="7.140625" style="92" hidden="1" customWidth="1"/>
    <col min="11" max="11" width="6" style="92" hidden="1" customWidth="1"/>
    <col min="12" max="12" width="5.140625" style="92" hidden="1" customWidth="1"/>
    <col min="13" max="14" width="14.5703125" style="92" hidden="1" customWidth="1"/>
    <col min="15" max="15" width="11.28515625" style="92" hidden="1" customWidth="1"/>
    <col min="16" max="16" width="11.7109375" style="92" hidden="1" customWidth="1"/>
    <col min="17" max="17" width="11.42578125" style="92" hidden="1" customWidth="1"/>
    <col min="18" max="18" width="12.140625" style="92" hidden="1" customWidth="1"/>
    <col min="19" max="19" width="13" style="92" hidden="1" customWidth="1"/>
    <col min="20" max="20" width="10.85546875" style="92" hidden="1" customWidth="1"/>
    <col min="21" max="21" width="14.85546875" style="92" hidden="1" customWidth="1"/>
    <col min="22" max="22" width="8.42578125" style="92" hidden="1" customWidth="1"/>
    <col min="23" max="23" width="9.140625" style="92" hidden="1" customWidth="1"/>
    <col min="24" max="24" width="15.85546875" style="437" hidden="1" customWidth="1"/>
    <col min="25" max="25" width="12.85546875" style="92" hidden="1" customWidth="1"/>
    <col min="26" max="47" width="9.140625" style="92" hidden="1" customWidth="1"/>
    <col min="48" max="48" width="13.7109375" style="92" hidden="1" customWidth="1"/>
    <col min="49" max="70" width="9.140625" style="92" hidden="1" customWidth="1"/>
    <col min="71" max="72" width="11" style="92" hidden="1" customWidth="1"/>
    <col min="73" max="73" width="11" style="438" hidden="1" customWidth="1"/>
    <col min="74" max="77" width="11" style="92" hidden="1" customWidth="1"/>
    <col min="78" max="84" width="10.140625" style="92" hidden="1" customWidth="1"/>
    <col min="85" max="86" width="9.140625" style="18" hidden="1" customWidth="1"/>
    <col min="87" max="87" width="12" style="18" hidden="1" customWidth="1"/>
    <col min="88" max="89" width="11.7109375" style="18" hidden="1" customWidth="1"/>
    <col min="90" max="90" width="11.7109375" style="91" hidden="1" customWidth="1"/>
    <col min="91" max="92" width="11.7109375" style="92" hidden="1" customWidth="1"/>
    <col min="93" max="93" width="9.28515625" style="92" hidden="1" customWidth="1"/>
    <col min="94" max="96" width="9.140625" style="92" hidden="1" customWidth="1"/>
    <col min="97" max="97" width="12.140625" style="92" hidden="1" customWidth="1"/>
    <col min="98" max="98" width="9.140625" style="92" hidden="1" customWidth="1"/>
    <col min="99" max="99" width="11.42578125" style="92" hidden="1" customWidth="1"/>
    <col min="100" max="108" width="9.140625" style="92" hidden="1" customWidth="1"/>
    <col min="109" max="117" width="9.140625" style="91" hidden="1" customWidth="1"/>
    <col min="118" max="118" width="10.7109375" style="92" hidden="1" customWidth="1"/>
    <col min="119" max="119" width="12.5703125" style="92" hidden="1" customWidth="1"/>
    <col min="120" max="124" width="10.7109375" style="92" hidden="1" customWidth="1"/>
    <col min="125" max="125" width="8.42578125" style="92" hidden="1" customWidth="1"/>
    <col min="126" max="126" width="8.7109375" style="92" hidden="1" customWidth="1"/>
    <col min="127" max="127" width="9.7109375" style="92" hidden="1" customWidth="1"/>
    <col min="128" max="128" width="8.7109375" style="92" hidden="1" customWidth="1"/>
    <col min="129" max="129" width="8.28515625" style="92" hidden="1" customWidth="1"/>
    <col min="130" max="130" width="8.7109375" style="92" hidden="1" customWidth="1"/>
    <col min="131" max="131" width="9.7109375" style="92" hidden="1" customWidth="1"/>
    <col min="132" max="132" width="8.7109375" style="92" hidden="1" customWidth="1"/>
    <col min="133" max="138" width="9.140625" style="92" hidden="1" customWidth="1"/>
    <col min="139" max="139" width="9.28515625" style="92" hidden="1" customWidth="1"/>
    <col min="140" max="140" width="11.7109375" style="92" hidden="1" customWidth="1"/>
    <col min="141" max="141" width="16.5703125" style="92" hidden="1" customWidth="1"/>
    <col min="142" max="143" width="9.140625" style="92" hidden="1" customWidth="1"/>
    <col min="144" max="144" width="9.28515625" style="92" hidden="1" customWidth="1"/>
    <col min="145" max="145" width="11" style="92" hidden="1" customWidth="1"/>
    <col min="146" max="150" width="0" style="92" hidden="1" customWidth="1"/>
    <col min="151" max="152" width="9.140625" style="92" customWidth="1"/>
    <col min="153" max="155" width="24" style="92" customWidth="1"/>
    <col min="156" max="158" width="9.140625" style="92" customWidth="1"/>
    <col min="159" max="164" width="0" style="92" hidden="1" customWidth="1"/>
    <col min="165" max="16384" width="9.140625" style="92" hidden="1"/>
  </cols>
  <sheetData>
    <row r="1" spans="1:158" s="430" customFormat="1" ht="81" customHeight="1" x14ac:dyDescent="0.2">
      <c r="A1" s="1451" t="str">
        <f>CONCATENATE('Demog Contact'!L1," HCCIS Diagnostic Imaging - Facility List 
(Alphabetical by Facility Name)")</f>
        <v>2024 HCCIS Diagnostic Imaging - Facility List 
(Alphabetical by Facility Name)</v>
      </c>
      <c r="B1" s="1452"/>
      <c r="C1" s="1452"/>
      <c r="D1" s="413" t="s">
        <v>277</v>
      </c>
      <c r="E1" s="414">
        <v>5</v>
      </c>
      <c r="F1" s="414">
        <v>6</v>
      </c>
      <c r="G1" s="414">
        <v>7</v>
      </c>
      <c r="H1" s="414">
        <v>8</v>
      </c>
      <c r="I1" s="414">
        <v>9</v>
      </c>
      <c r="J1" s="415" t="s">
        <v>278</v>
      </c>
      <c r="K1" s="416">
        <v>11</v>
      </c>
      <c r="L1" s="416">
        <v>12</v>
      </c>
      <c r="M1" s="416">
        <v>13</v>
      </c>
      <c r="N1" s="416">
        <v>14</v>
      </c>
      <c r="O1" s="416">
        <v>15</v>
      </c>
      <c r="P1" s="416">
        <v>16</v>
      </c>
      <c r="Q1" s="414">
        <v>17</v>
      </c>
      <c r="R1" s="414">
        <v>18</v>
      </c>
      <c r="S1" s="414">
        <v>19</v>
      </c>
      <c r="T1" s="414">
        <v>20</v>
      </c>
      <c r="U1" s="414">
        <v>21</v>
      </c>
      <c r="V1" s="414">
        <v>22</v>
      </c>
      <c r="W1" s="414">
        <v>23</v>
      </c>
      <c r="X1" s="417" t="s">
        <v>276</v>
      </c>
      <c r="Y1" s="418">
        <v>25</v>
      </c>
      <c r="Z1" s="418">
        <v>26</v>
      </c>
      <c r="AA1" s="418">
        <v>27</v>
      </c>
      <c r="AB1" s="418"/>
      <c r="AC1" s="418">
        <v>29</v>
      </c>
      <c r="AD1" s="418">
        <v>30</v>
      </c>
      <c r="AE1" s="418">
        <v>31</v>
      </c>
      <c r="AF1" s="418">
        <v>32</v>
      </c>
      <c r="AG1" s="418">
        <v>33</v>
      </c>
      <c r="AH1" s="418">
        <v>34</v>
      </c>
      <c r="AI1" s="418">
        <v>35</v>
      </c>
      <c r="AJ1" s="418">
        <v>36</v>
      </c>
      <c r="AK1" s="418">
        <v>37</v>
      </c>
      <c r="AL1" s="418">
        <v>38</v>
      </c>
      <c r="AM1" s="419">
        <v>39</v>
      </c>
      <c r="AN1" s="420">
        <v>40</v>
      </c>
      <c r="AO1" s="420">
        <v>41</v>
      </c>
      <c r="AP1" s="420">
        <v>42</v>
      </c>
      <c r="AQ1" s="420">
        <v>43</v>
      </c>
      <c r="AR1" s="420">
        <v>44</v>
      </c>
      <c r="AS1" s="420">
        <v>45</v>
      </c>
      <c r="AT1" s="420">
        <v>46</v>
      </c>
      <c r="AU1" s="420">
        <v>47</v>
      </c>
      <c r="AV1" s="420">
        <v>48</v>
      </c>
      <c r="AW1" s="420">
        <v>49</v>
      </c>
      <c r="AX1" s="420">
        <v>50</v>
      </c>
      <c r="AY1" s="420">
        <v>51</v>
      </c>
      <c r="AZ1" s="420">
        <v>52</v>
      </c>
      <c r="BA1" s="420">
        <v>53</v>
      </c>
      <c r="BB1" s="421">
        <v>54</v>
      </c>
      <c r="BC1" s="422">
        <v>55</v>
      </c>
      <c r="BD1" s="422">
        <v>56</v>
      </c>
      <c r="BE1" s="422">
        <v>57</v>
      </c>
      <c r="BF1" s="422">
        <v>58</v>
      </c>
      <c r="BG1" s="422">
        <v>59</v>
      </c>
      <c r="BH1" s="422">
        <v>60</v>
      </c>
      <c r="BI1" s="422">
        <v>61</v>
      </c>
      <c r="BJ1" s="422">
        <v>62</v>
      </c>
      <c r="BK1" s="422">
        <v>63</v>
      </c>
      <c r="BL1" s="422">
        <v>64</v>
      </c>
      <c r="BM1" s="422">
        <v>65</v>
      </c>
      <c r="BN1" s="422">
        <v>66</v>
      </c>
      <c r="BO1" s="422">
        <v>67</v>
      </c>
      <c r="BP1" s="422">
        <v>68</v>
      </c>
      <c r="BQ1" s="423">
        <v>69</v>
      </c>
      <c r="BR1" s="424">
        <v>70</v>
      </c>
      <c r="BS1" s="424">
        <v>71</v>
      </c>
      <c r="BT1" s="424">
        <v>72</v>
      </c>
      <c r="BU1" s="424">
        <v>73</v>
      </c>
      <c r="BV1" s="424">
        <v>74</v>
      </c>
      <c r="BW1" s="424">
        <v>75</v>
      </c>
      <c r="BX1" s="424">
        <v>76</v>
      </c>
      <c r="BY1" s="424">
        <v>77</v>
      </c>
      <c r="BZ1" s="424">
        <v>78</v>
      </c>
      <c r="CA1" s="424">
        <v>79</v>
      </c>
      <c r="CB1" s="424">
        <v>80</v>
      </c>
      <c r="CC1" s="424">
        <v>81</v>
      </c>
      <c r="CD1" s="424">
        <v>82</v>
      </c>
      <c r="CE1" s="424">
        <v>83</v>
      </c>
      <c r="CF1" s="425">
        <v>84</v>
      </c>
      <c r="CG1" s="425">
        <v>85</v>
      </c>
      <c r="CH1" s="425">
        <v>86</v>
      </c>
      <c r="CI1" s="425">
        <v>87</v>
      </c>
      <c r="CJ1" s="425">
        <v>88</v>
      </c>
      <c r="CK1" s="425">
        <v>89</v>
      </c>
      <c r="CL1" s="425">
        <v>90</v>
      </c>
      <c r="CM1" s="425">
        <v>91</v>
      </c>
      <c r="CN1" s="426">
        <v>92</v>
      </c>
      <c r="CO1" s="427">
        <v>93</v>
      </c>
      <c r="CP1" s="420">
        <v>94</v>
      </c>
      <c r="CQ1" s="422">
        <v>95</v>
      </c>
      <c r="CR1" s="424">
        <v>96</v>
      </c>
      <c r="CS1" s="425">
        <v>97</v>
      </c>
      <c r="CT1" s="425">
        <v>98</v>
      </c>
      <c r="CU1" s="425">
        <v>99</v>
      </c>
      <c r="CV1" s="414">
        <v>100</v>
      </c>
      <c r="CW1" s="414">
        <v>101</v>
      </c>
      <c r="CX1" s="414">
        <v>102</v>
      </c>
      <c r="CY1" s="414">
        <v>103</v>
      </c>
      <c r="CZ1" s="414">
        <v>104</v>
      </c>
      <c r="DA1" s="414">
        <v>105</v>
      </c>
      <c r="DB1" s="414">
        <v>106</v>
      </c>
      <c r="DC1" s="414">
        <v>107</v>
      </c>
      <c r="DD1" s="428">
        <v>108</v>
      </c>
      <c r="DE1" s="428">
        <v>109</v>
      </c>
      <c r="DF1" s="428">
        <v>110</v>
      </c>
      <c r="DG1" s="428">
        <v>111</v>
      </c>
      <c r="DH1" s="428">
        <v>112</v>
      </c>
      <c r="DI1" s="428">
        <v>113</v>
      </c>
      <c r="DJ1" s="428">
        <v>114</v>
      </c>
      <c r="DK1" s="428">
        <v>115</v>
      </c>
      <c r="DL1" s="428">
        <v>116</v>
      </c>
      <c r="DM1" s="428">
        <v>117</v>
      </c>
      <c r="DN1" s="428">
        <v>118</v>
      </c>
      <c r="DO1" s="428">
        <v>119</v>
      </c>
      <c r="DP1" s="428">
        <v>120</v>
      </c>
      <c r="DQ1" s="428">
        <v>121</v>
      </c>
      <c r="DR1" s="428">
        <v>122</v>
      </c>
      <c r="DS1" s="428">
        <v>123</v>
      </c>
      <c r="DT1" s="428">
        <v>124</v>
      </c>
      <c r="DU1" s="428">
        <v>125</v>
      </c>
      <c r="DV1" s="428">
        <v>126</v>
      </c>
      <c r="DW1" s="428">
        <v>127</v>
      </c>
      <c r="DX1" s="428">
        <v>128</v>
      </c>
      <c r="DY1" s="428">
        <v>129</v>
      </c>
      <c r="DZ1" s="428">
        <v>130</v>
      </c>
      <c r="EA1" s="428">
        <v>131</v>
      </c>
      <c r="EB1" s="428">
        <v>132</v>
      </c>
      <c r="EC1" s="428">
        <v>133</v>
      </c>
      <c r="ED1" s="428">
        <v>134</v>
      </c>
      <c r="EE1" s="428">
        <v>135</v>
      </c>
      <c r="EF1" s="428">
        <v>136</v>
      </c>
      <c r="EG1" s="428">
        <v>137</v>
      </c>
      <c r="EH1" s="428">
        <v>138</v>
      </c>
      <c r="EI1" s="428">
        <v>139</v>
      </c>
      <c r="EJ1" s="428">
        <v>140</v>
      </c>
      <c r="EK1" s="428">
        <v>141</v>
      </c>
      <c r="EL1" s="428">
        <v>142</v>
      </c>
      <c r="EM1" s="428">
        <v>143</v>
      </c>
      <c r="EN1" s="428">
        <v>144</v>
      </c>
      <c r="EO1" s="428">
        <v>145</v>
      </c>
      <c r="EP1" s="428">
        <v>146</v>
      </c>
      <c r="EQ1" s="428">
        <v>147</v>
      </c>
      <c r="ER1" s="429"/>
      <c r="ES1" s="429"/>
      <c r="ET1" s="429"/>
      <c r="EU1" s="429"/>
      <c r="EV1" s="1453" t="str">
        <f>CONCATENATE('Demog Contact'!L1," HCCIS Diagnostic Imaging - Lease Entities 
 (Alphabetical by City)")</f>
        <v>2024 HCCIS Diagnostic Imaging - Lease Entities 
 (Alphabetical by City)</v>
      </c>
      <c r="EW1" s="1453"/>
      <c r="EX1" s="1453"/>
      <c r="EY1" s="1453"/>
      <c r="EZ1" s="1453"/>
      <c r="FA1" s="1453"/>
      <c r="FB1" s="1453"/>
    </row>
    <row r="2" spans="1:158" s="470" customFormat="1" ht="40.5" customHeight="1" x14ac:dyDescent="0.25">
      <c r="A2" s="467" t="s">
        <v>783</v>
      </c>
      <c r="B2" s="468" t="s">
        <v>40</v>
      </c>
      <c r="C2" s="469" t="s">
        <v>128</v>
      </c>
      <c r="D2" s="470" t="s">
        <v>127</v>
      </c>
      <c r="E2" s="471" t="s">
        <v>41</v>
      </c>
      <c r="F2" s="471" t="s">
        <v>135</v>
      </c>
      <c r="G2" s="471" t="s">
        <v>136</v>
      </c>
      <c r="H2" s="471" t="s">
        <v>279</v>
      </c>
      <c r="I2" s="471" t="s">
        <v>43</v>
      </c>
      <c r="J2" s="471" t="s">
        <v>127</v>
      </c>
      <c r="K2" s="471" t="s">
        <v>41</v>
      </c>
      <c r="L2" s="471" t="s">
        <v>128</v>
      </c>
      <c r="M2" s="471" t="s">
        <v>135</v>
      </c>
      <c r="N2" s="471" t="s">
        <v>136</v>
      </c>
      <c r="O2" s="471" t="s">
        <v>279</v>
      </c>
      <c r="P2" s="471" t="s">
        <v>43</v>
      </c>
      <c r="Q2" s="471" t="s">
        <v>44</v>
      </c>
      <c r="R2" s="471" t="s">
        <v>45</v>
      </c>
      <c r="S2" s="472" t="s">
        <v>46</v>
      </c>
      <c r="T2" s="472" t="s">
        <v>47</v>
      </c>
      <c r="U2" s="471" t="s">
        <v>48</v>
      </c>
      <c r="V2" s="471" t="s">
        <v>49</v>
      </c>
      <c r="W2" s="471" t="s">
        <v>50</v>
      </c>
      <c r="X2" s="473" t="s">
        <v>230</v>
      </c>
      <c r="Y2" s="473" t="s">
        <v>231</v>
      </c>
      <c r="Z2" s="474" t="s">
        <v>232</v>
      </c>
      <c r="AA2" s="474" t="s">
        <v>70</v>
      </c>
      <c r="AB2" s="473" t="s">
        <v>71</v>
      </c>
      <c r="AC2" s="473" t="s">
        <v>72</v>
      </c>
      <c r="AD2" s="473" t="s">
        <v>73</v>
      </c>
      <c r="AE2" s="474" t="s">
        <v>74</v>
      </c>
      <c r="AF2" s="474" t="s">
        <v>75</v>
      </c>
      <c r="AG2" s="474" t="s">
        <v>76</v>
      </c>
      <c r="AH2" s="474" t="s">
        <v>77</v>
      </c>
      <c r="AI2" s="474" t="s">
        <v>78</v>
      </c>
      <c r="AJ2" s="474" t="s">
        <v>79</v>
      </c>
      <c r="AK2" s="474" t="s">
        <v>80</v>
      </c>
      <c r="AL2" s="474" t="s">
        <v>81</v>
      </c>
      <c r="AM2" s="473" t="s">
        <v>215</v>
      </c>
      <c r="AN2" s="473" t="s">
        <v>216</v>
      </c>
      <c r="AO2" s="474" t="s">
        <v>217</v>
      </c>
      <c r="AP2" s="474" t="s">
        <v>218</v>
      </c>
      <c r="AQ2" s="473" t="s">
        <v>219</v>
      </c>
      <c r="AR2" s="473" t="s">
        <v>220</v>
      </c>
      <c r="AS2" s="473" t="s">
        <v>221</v>
      </c>
      <c r="AT2" s="474" t="s">
        <v>222</v>
      </c>
      <c r="AU2" s="474" t="s">
        <v>223</v>
      </c>
      <c r="AV2" s="474" t="s">
        <v>224</v>
      </c>
      <c r="AW2" s="474" t="s">
        <v>225</v>
      </c>
      <c r="AX2" s="474" t="s">
        <v>226</v>
      </c>
      <c r="AY2" s="474" t="s">
        <v>227</v>
      </c>
      <c r="AZ2" s="474" t="s">
        <v>228</v>
      </c>
      <c r="BA2" s="474" t="s">
        <v>229</v>
      </c>
      <c r="BB2" s="473" t="s">
        <v>281</v>
      </c>
      <c r="BC2" s="473" t="s">
        <v>282</v>
      </c>
      <c r="BD2" s="474" t="s">
        <v>283</v>
      </c>
      <c r="BE2" s="474" t="s">
        <v>284</v>
      </c>
      <c r="BF2" s="473" t="s">
        <v>285</v>
      </c>
      <c r="BG2" s="473" t="s">
        <v>286</v>
      </c>
      <c r="BH2" s="473" t="s">
        <v>287</v>
      </c>
      <c r="BI2" s="474" t="s">
        <v>288</v>
      </c>
      <c r="BJ2" s="474" t="s">
        <v>289</v>
      </c>
      <c r="BK2" s="474" t="s">
        <v>290</v>
      </c>
      <c r="BL2" s="474" t="s">
        <v>291</v>
      </c>
      <c r="BM2" s="474" t="s">
        <v>292</v>
      </c>
      <c r="BN2" s="474" t="s">
        <v>293</v>
      </c>
      <c r="BO2" s="474" t="s">
        <v>213</v>
      </c>
      <c r="BP2" s="474" t="s">
        <v>214</v>
      </c>
      <c r="BQ2" s="473" t="s">
        <v>0</v>
      </c>
      <c r="BR2" s="473" t="s">
        <v>1</v>
      </c>
      <c r="BS2" s="474" t="s">
        <v>2</v>
      </c>
      <c r="BT2" s="474" t="s">
        <v>3</v>
      </c>
      <c r="BU2" s="473" t="s">
        <v>4</v>
      </c>
      <c r="BV2" s="473" t="s">
        <v>5</v>
      </c>
      <c r="BW2" s="473" t="s">
        <v>6</v>
      </c>
      <c r="BX2" s="474" t="s">
        <v>7</v>
      </c>
      <c r="BY2" s="474" t="s">
        <v>8</v>
      </c>
      <c r="BZ2" s="474" t="s">
        <v>9</v>
      </c>
      <c r="CA2" s="474" t="s">
        <v>10</v>
      </c>
      <c r="CB2" s="474" t="s">
        <v>11</v>
      </c>
      <c r="CC2" s="474" t="s">
        <v>12</v>
      </c>
      <c r="CD2" s="474" t="s">
        <v>13</v>
      </c>
      <c r="CE2" s="474" t="s">
        <v>14</v>
      </c>
      <c r="CF2" s="475" t="s">
        <v>53</v>
      </c>
      <c r="CG2" s="475" t="s">
        <v>62</v>
      </c>
      <c r="CH2" s="475" t="s">
        <v>63</v>
      </c>
      <c r="CI2" s="475" t="s">
        <v>64</v>
      </c>
      <c r="CJ2" s="475" t="s">
        <v>65</v>
      </c>
      <c r="CK2" s="475" t="s">
        <v>294</v>
      </c>
      <c r="CL2" s="475" t="s">
        <v>295</v>
      </c>
      <c r="CM2" s="476" t="s">
        <v>87</v>
      </c>
      <c r="CN2" s="475" t="s">
        <v>301</v>
      </c>
      <c r="CO2" s="477" t="s">
        <v>302</v>
      </c>
      <c r="CP2" s="475" t="s">
        <v>303</v>
      </c>
      <c r="CQ2" s="475" t="s">
        <v>304</v>
      </c>
      <c r="CR2" s="475" t="s">
        <v>305</v>
      </c>
      <c r="CS2" s="478" t="s">
        <v>296</v>
      </c>
      <c r="CT2" s="478" t="s">
        <v>297</v>
      </c>
      <c r="CU2" s="478" t="s">
        <v>254</v>
      </c>
      <c r="CV2" s="475" t="s">
        <v>164</v>
      </c>
      <c r="CW2" s="475" t="s">
        <v>165</v>
      </c>
      <c r="CX2" s="475" t="s">
        <v>166</v>
      </c>
      <c r="CY2" s="475" t="s">
        <v>152</v>
      </c>
      <c r="CZ2" s="475" t="s">
        <v>167</v>
      </c>
      <c r="DA2" s="475" t="s">
        <v>168</v>
      </c>
      <c r="DB2" s="475" t="s">
        <v>169</v>
      </c>
      <c r="DC2" s="475" t="s">
        <v>170</v>
      </c>
      <c r="DD2" s="479" t="s">
        <v>426</v>
      </c>
      <c r="DE2" s="479" t="s">
        <v>413</v>
      </c>
      <c r="DF2" s="479" t="s">
        <v>427</v>
      </c>
      <c r="DG2" s="479" t="s">
        <v>414</v>
      </c>
      <c r="DH2" s="479" t="s">
        <v>428</v>
      </c>
      <c r="DI2" s="479" t="s">
        <v>415</v>
      </c>
      <c r="DJ2" s="479" t="s">
        <v>429</v>
      </c>
      <c r="DK2" s="479" t="s">
        <v>416</v>
      </c>
      <c r="DL2" s="480" t="s">
        <v>450</v>
      </c>
      <c r="DM2" s="480" t="s">
        <v>451</v>
      </c>
      <c r="DN2" s="480" t="s">
        <v>452</v>
      </c>
      <c r="DO2" s="480" t="s">
        <v>453</v>
      </c>
      <c r="DP2" s="480" t="s">
        <v>454</v>
      </c>
      <c r="DQ2" s="480" t="s">
        <v>455</v>
      </c>
      <c r="DR2" s="481" t="s">
        <v>430</v>
      </c>
      <c r="DS2" s="481" t="s">
        <v>417</v>
      </c>
      <c r="DT2" s="481" t="s">
        <v>431</v>
      </c>
      <c r="DU2" s="481" t="s">
        <v>418</v>
      </c>
      <c r="DV2" s="481" t="s">
        <v>432</v>
      </c>
      <c r="DW2" s="481" t="s">
        <v>419</v>
      </c>
      <c r="DX2" s="481" t="s">
        <v>433</v>
      </c>
      <c r="DY2" s="481" t="s">
        <v>420</v>
      </c>
      <c r="DZ2" s="481" t="s">
        <v>434</v>
      </c>
      <c r="EA2" s="481" t="s">
        <v>421</v>
      </c>
      <c r="EB2" s="481" t="s">
        <v>435</v>
      </c>
      <c r="EC2" s="481" t="s">
        <v>422</v>
      </c>
      <c r="ED2" s="481" t="s">
        <v>436</v>
      </c>
      <c r="EE2" s="481" t="s">
        <v>423</v>
      </c>
      <c r="EF2" s="481" t="s">
        <v>437</v>
      </c>
      <c r="EG2" s="481" t="s">
        <v>424</v>
      </c>
      <c r="EH2" s="481" t="s">
        <v>438</v>
      </c>
      <c r="EI2" s="481" t="s">
        <v>425</v>
      </c>
      <c r="EJ2" s="482" t="s">
        <v>696</v>
      </c>
      <c r="EK2" s="482" t="s">
        <v>697</v>
      </c>
      <c r="EL2" s="482" t="s">
        <v>698</v>
      </c>
      <c r="EM2" s="482" t="s">
        <v>699</v>
      </c>
      <c r="EN2" s="482" t="s">
        <v>700</v>
      </c>
      <c r="EO2" s="482" t="s">
        <v>701</v>
      </c>
      <c r="EP2" s="482" t="s">
        <v>702</v>
      </c>
      <c r="EQ2" s="482" t="s">
        <v>703</v>
      </c>
      <c r="ER2" s="488" t="s">
        <v>2706</v>
      </c>
      <c r="ES2" s="488" t="s">
        <v>2707</v>
      </c>
      <c r="ET2" s="488" t="s">
        <v>2708</v>
      </c>
      <c r="EU2" s="488"/>
      <c r="EV2" s="467" t="s">
        <v>34</v>
      </c>
      <c r="EW2" s="468" t="s">
        <v>207</v>
      </c>
      <c r="EX2" s="469" t="s">
        <v>128</v>
      </c>
      <c r="EY2" s="469" t="s">
        <v>127</v>
      </c>
      <c r="EZ2" s="483" t="s">
        <v>136</v>
      </c>
      <c r="FA2" s="483" t="s">
        <v>279</v>
      </c>
      <c r="FB2" s="484" t="s">
        <v>87</v>
      </c>
    </row>
    <row r="3" spans="1:158" x14ac:dyDescent="0.2">
      <c r="A3" s="439">
        <v>1066</v>
      </c>
      <c r="B3" t="s">
        <v>723</v>
      </c>
      <c r="C3" t="s">
        <v>724</v>
      </c>
      <c r="D3" t="s">
        <v>725</v>
      </c>
      <c r="E3" t="s">
        <v>726</v>
      </c>
      <c r="F3" t="s">
        <v>727</v>
      </c>
      <c r="G3" t="s">
        <v>54</v>
      </c>
      <c r="H3" s="576">
        <v>56425</v>
      </c>
      <c r="I3"/>
      <c r="J3" t="s">
        <v>725</v>
      </c>
      <c r="K3" t="s">
        <v>726</v>
      </c>
      <c r="L3" t="s">
        <v>724</v>
      </c>
      <c r="M3" t="s">
        <v>727</v>
      </c>
      <c r="N3" t="s">
        <v>54</v>
      </c>
      <c r="O3" s="576">
        <v>56425</v>
      </c>
      <c r="P3"/>
      <c r="Q3">
        <v>2184548888</v>
      </c>
      <c r="R3">
        <v>8888357231</v>
      </c>
      <c r="S3" t="s">
        <v>728</v>
      </c>
      <c r="T3" t="s">
        <v>729</v>
      </c>
      <c r="U3" t="s">
        <v>784</v>
      </c>
      <c r="V3" t="s">
        <v>730</v>
      </c>
      <c r="W3" t="s">
        <v>731</v>
      </c>
      <c r="X3" t="s">
        <v>785</v>
      </c>
      <c r="Y3" t="s">
        <v>786</v>
      </c>
      <c r="Z3" t="s">
        <v>740</v>
      </c>
      <c r="AA3" t="s">
        <v>723</v>
      </c>
      <c r="AB3">
        <v>2184543077</v>
      </c>
      <c r="AC3"/>
      <c r="AD3">
        <v>8888357231</v>
      </c>
      <c r="AE3" t="s">
        <v>787</v>
      </c>
      <c r="AF3" t="s">
        <v>725</v>
      </c>
      <c r="AG3" t="s">
        <v>726</v>
      </c>
      <c r="AH3" t="s">
        <v>724</v>
      </c>
      <c r="AI3" t="s">
        <v>727</v>
      </c>
      <c r="AJ3" t="s">
        <v>54</v>
      </c>
      <c r="AK3" s="576">
        <v>56425</v>
      </c>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t="s">
        <v>732</v>
      </c>
      <c r="CG3" t="s">
        <v>733</v>
      </c>
      <c r="CH3" t="s">
        <v>56</v>
      </c>
      <c r="CI3"/>
      <c r="CJ3"/>
      <c r="CK3"/>
      <c r="CL3"/>
      <c r="CM3">
        <v>1265583652</v>
      </c>
      <c r="CN3">
        <v>2051</v>
      </c>
      <c r="CO3">
        <v>2077</v>
      </c>
      <c r="CP3"/>
      <c r="CQ3"/>
      <c r="CR3"/>
      <c r="CS3" t="s">
        <v>788</v>
      </c>
      <c r="CT3">
        <v>12</v>
      </c>
      <c r="CU3"/>
      <c r="CV3"/>
      <c r="CW3"/>
      <c r="CX3"/>
      <c r="CY3"/>
      <c r="CZ3"/>
      <c r="DA3"/>
      <c r="DB3"/>
      <c r="DC3"/>
      <c r="DD3"/>
      <c r="DE3"/>
      <c r="DF3"/>
      <c r="DG3"/>
      <c r="DH3"/>
      <c r="DI3"/>
      <c r="DJ3"/>
      <c r="DK3"/>
      <c r="DL3"/>
      <c r="DM3"/>
      <c r="DN3">
        <v>133</v>
      </c>
      <c r="DO3" t="s">
        <v>789</v>
      </c>
      <c r="DP3"/>
      <c r="DQ3"/>
      <c r="DR3"/>
      <c r="DS3"/>
      <c r="DT3"/>
      <c r="DU3"/>
      <c r="DV3"/>
      <c r="DW3"/>
      <c r="DX3"/>
      <c r="DY3"/>
      <c r="DZ3"/>
      <c r="EA3"/>
      <c r="EB3"/>
      <c r="EC3"/>
      <c r="ED3"/>
      <c r="EE3"/>
      <c r="EF3"/>
      <c r="EG3"/>
      <c r="EH3"/>
      <c r="EI3"/>
      <c r="EJ3"/>
      <c r="EK3"/>
      <c r="EL3"/>
      <c r="EM3"/>
      <c r="EN3"/>
      <c r="EO3"/>
      <c r="EP3"/>
      <c r="EQ3"/>
      <c r="ER3">
        <v>0</v>
      </c>
      <c r="ES3"/>
      <c r="ET3"/>
      <c r="EU3"/>
      <c r="EV3" s="439">
        <v>3</v>
      </c>
      <c r="EW3" t="s">
        <v>2709</v>
      </c>
      <c r="EX3" t="s">
        <v>2710</v>
      </c>
      <c r="EY3" t="s">
        <v>2711</v>
      </c>
      <c r="EZ3" t="s">
        <v>54</v>
      </c>
      <c r="FA3">
        <v>56510</v>
      </c>
      <c r="FB3">
        <v>1306836598</v>
      </c>
    </row>
    <row r="4" spans="1:158" x14ac:dyDescent="0.2">
      <c r="A4" s="439">
        <v>1429</v>
      </c>
      <c r="B4" t="s">
        <v>734</v>
      </c>
      <c r="C4" t="s">
        <v>735</v>
      </c>
      <c r="D4" t="s">
        <v>736</v>
      </c>
      <c r="E4" t="s">
        <v>737</v>
      </c>
      <c r="F4"/>
      <c r="G4" t="s">
        <v>54</v>
      </c>
      <c r="H4" s="576">
        <v>55305</v>
      </c>
      <c r="I4" t="s">
        <v>749</v>
      </c>
      <c r="J4" t="s">
        <v>736</v>
      </c>
      <c r="K4" t="s">
        <v>737</v>
      </c>
      <c r="L4" t="s">
        <v>735</v>
      </c>
      <c r="M4" t="s">
        <v>744</v>
      </c>
      <c r="N4" t="s">
        <v>54</v>
      </c>
      <c r="O4" s="576">
        <v>55305</v>
      </c>
      <c r="P4" t="s">
        <v>749</v>
      </c>
      <c r="Q4">
        <v>9525466866</v>
      </c>
      <c r="R4">
        <v>9525120038</v>
      </c>
      <c r="S4" t="s">
        <v>738</v>
      </c>
      <c r="T4" t="s">
        <v>739</v>
      </c>
      <c r="U4" t="s">
        <v>740</v>
      </c>
      <c r="V4" t="s">
        <v>741</v>
      </c>
      <c r="W4" t="s">
        <v>749</v>
      </c>
      <c r="X4" t="s">
        <v>738</v>
      </c>
      <c r="Y4" t="s">
        <v>739</v>
      </c>
      <c r="Z4" t="s">
        <v>742</v>
      </c>
      <c r="AA4" t="s">
        <v>743</v>
      </c>
      <c r="AB4">
        <v>9525435606</v>
      </c>
      <c r="AC4"/>
      <c r="AD4">
        <v>9525120038</v>
      </c>
      <c r="AE4" t="s">
        <v>741</v>
      </c>
      <c r="AF4" t="s">
        <v>736</v>
      </c>
      <c r="AG4" t="s">
        <v>737</v>
      </c>
      <c r="AH4" t="s">
        <v>735</v>
      </c>
      <c r="AI4" t="s">
        <v>744</v>
      </c>
      <c r="AJ4" t="s">
        <v>54</v>
      </c>
      <c r="AK4" s="576">
        <v>55305</v>
      </c>
      <c r="AL4" t="s">
        <v>749</v>
      </c>
      <c r="AM4" t="s">
        <v>790</v>
      </c>
      <c r="AN4" t="s">
        <v>791</v>
      </c>
      <c r="AO4" t="s">
        <v>792</v>
      </c>
      <c r="AP4" t="s">
        <v>793</v>
      </c>
      <c r="AQ4">
        <v>9525466866</v>
      </c>
      <c r="AR4"/>
      <c r="AS4">
        <v>9525120038</v>
      </c>
      <c r="AT4" t="s">
        <v>794</v>
      </c>
      <c r="AU4" t="s">
        <v>736</v>
      </c>
      <c r="AV4" t="s">
        <v>737</v>
      </c>
      <c r="AW4" t="s">
        <v>735</v>
      </c>
      <c r="AX4" t="s">
        <v>744</v>
      </c>
      <c r="AY4" t="s">
        <v>54</v>
      </c>
      <c r="AZ4" s="576">
        <v>55305</v>
      </c>
      <c r="BA4" t="s">
        <v>749</v>
      </c>
      <c r="BB4"/>
      <c r="BC4"/>
      <c r="BD4"/>
      <c r="BE4"/>
      <c r="BF4"/>
      <c r="BG4"/>
      <c r="BH4"/>
      <c r="BI4"/>
      <c r="BJ4"/>
      <c r="BK4"/>
      <c r="BL4"/>
      <c r="BM4"/>
      <c r="BN4"/>
      <c r="BO4"/>
      <c r="BP4"/>
      <c r="BQ4" t="s">
        <v>738</v>
      </c>
      <c r="BR4" t="s">
        <v>739</v>
      </c>
      <c r="BS4" t="s">
        <v>742</v>
      </c>
      <c r="BT4" t="s">
        <v>743</v>
      </c>
      <c r="BU4">
        <v>9525435606</v>
      </c>
      <c r="BV4"/>
      <c r="BW4">
        <v>9525120038</v>
      </c>
      <c r="BX4" t="s">
        <v>741</v>
      </c>
      <c r="BY4" t="s">
        <v>736</v>
      </c>
      <c r="BZ4" t="s">
        <v>737</v>
      </c>
      <c r="CA4" t="s">
        <v>735</v>
      </c>
      <c r="CB4" t="s">
        <v>744</v>
      </c>
      <c r="CC4" t="s">
        <v>54</v>
      </c>
      <c r="CD4" s="576">
        <v>55305</v>
      </c>
      <c r="CE4" t="s">
        <v>749</v>
      </c>
      <c r="CF4" t="s">
        <v>745</v>
      </c>
      <c r="CG4" t="s">
        <v>733</v>
      </c>
      <c r="CH4" t="s">
        <v>749</v>
      </c>
      <c r="CI4"/>
      <c r="CJ4"/>
      <c r="CK4"/>
      <c r="CL4"/>
      <c r="CM4">
        <v>1619994696</v>
      </c>
      <c r="CN4">
        <v>2520</v>
      </c>
      <c r="CO4">
        <v>2683</v>
      </c>
      <c r="CP4">
        <v>2698</v>
      </c>
      <c r="CQ4"/>
      <c r="CR4">
        <v>2683</v>
      </c>
      <c r="CS4" t="s">
        <v>795</v>
      </c>
      <c r="CT4">
        <v>12</v>
      </c>
      <c r="CU4"/>
      <c r="CV4"/>
      <c r="CW4"/>
      <c r="CX4" t="s">
        <v>749</v>
      </c>
      <c r="CY4"/>
      <c r="CZ4" t="s">
        <v>749</v>
      </c>
      <c r="DA4" t="s">
        <v>749</v>
      </c>
      <c r="DB4" t="s">
        <v>749</v>
      </c>
      <c r="DC4" t="s">
        <v>749</v>
      </c>
      <c r="DD4"/>
      <c r="DE4"/>
      <c r="DF4"/>
      <c r="DG4"/>
      <c r="DH4"/>
      <c r="DI4"/>
      <c r="DJ4"/>
      <c r="DK4"/>
      <c r="DL4"/>
      <c r="DM4"/>
      <c r="DN4">
        <v>133</v>
      </c>
      <c r="DO4" t="s">
        <v>796</v>
      </c>
      <c r="DP4"/>
      <c r="DQ4"/>
      <c r="DR4"/>
      <c r="DS4"/>
      <c r="DT4"/>
      <c r="DU4"/>
      <c r="DV4"/>
      <c r="DW4"/>
      <c r="DX4"/>
      <c r="DY4"/>
      <c r="DZ4"/>
      <c r="EA4"/>
      <c r="EB4"/>
      <c r="EC4"/>
      <c r="ED4"/>
      <c r="EE4"/>
      <c r="EF4"/>
      <c r="EG4"/>
      <c r="EH4"/>
      <c r="EI4"/>
      <c r="EJ4"/>
      <c r="EK4"/>
      <c r="EL4"/>
      <c r="EM4"/>
      <c r="EN4"/>
      <c r="EO4"/>
      <c r="EP4"/>
      <c r="EQ4"/>
      <c r="ER4">
        <v>0</v>
      </c>
      <c r="ES4"/>
      <c r="ET4"/>
      <c r="EU4"/>
      <c r="EV4" s="439">
        <v>665</v>
      </c>
      <c r="EW4" t="s">
        <v>2712</v>
      </c>
      <c r="EX4" t="s">
        <v>1357</v>
      </c>
      <c r="EY4" t="s">
        <v>2713</v>
      </c>
      <c r="EZ4" t="s">
        <v>54</v>
      </c>
      <c r="FA4">
        <v>56431</v>
      </c>
      <c r="FB4"/>
    </row>
    <row r="5" spans="1:158" x14ac:dyDescent="0.2">
      <c r="A5" s="439">
        <v>1430</v>
      </c>
      <c r="B5" t="s">
        <v>797</v>
      </c>
      <c r="C5" t="s">
        <v>798</v>
      </c>
      <c r="D5" t="s">
        <v>799</v>
      </c>
      <c r="E5" t="s">
        <v>800</v>
      </c>
      <c r="F5" t="s">
        <v>801</v>
      </c>
      <c r="G5" t="s">
        <v>54</v>
      </c>
      <c r="H5" s="576">
        <v>55449</v>
      </c>
      <c r="I5" t="s">
        <v>749</v>
      </c>
      <c r="J5" t="s">
        <v>799</v>
      </c>
      <c r="K5" t="s">
        <v>800</v>
      </c>
      <c r="L5" t="s">
        <v>798</v>
      </c>
      <c r="M5" t="s">
        <v>801</v>
      </c>
      <c r="N5" t="s">
        <v>54</v>
      </c>
      <c r="O5" s="576">
        <v>55449</v>
      </c>
      <c r="P5" t="s">
        <v>749</v>
      </c>
      <c r="Q5">
        <v>8889383838</v>
      </c>
      <c r="R5">
        <v>7632963296</v>
      </c>
      <c r="S5" t="s">
        <v>802</v>
      </c>
      <c r="T5" t="s">
        <v>803</v>
      </c>
      <c r="U5" t="s">
        <v>740</v>
      </c>
      <c r="V5" t="s">
        <v>804</v>
      </c>
      <c r="W5" t="s">
        <v>749</v>
      </c>
      <c r="X5" t="s">
        <v>805</v>
      </c>
      <c r="Y5" t="s">
        <v>806</v>
      </c>
      <c r="Z5" t="s">
        <v>807</v>
      </c>
      <c r="AA5" t="s">
        <v>808</v>
      </c>
      <c r="AB5">
        <v>8889384102</v>
      </c>
      <c r="AC5"/>
      <c r="AD5">
        <v>7632963296</v>
      </c>
      <c r="AE5" t="s">
        <v>809</v>
      </c>
      <c r="AF5" t="s">
        <v>810</v>
      </c>
      <c r="AG5" t="s">
        <v>749</v>
      </c>
      <c r="AH5" t="s">
        <v>811</v>
      </c>
      <c r="AI5" t="s">
        <v>812</v>
      </c>
      <c r="AJ5" t="s">
        <v>813</v>
      </c>
      <c r="AK5" s="576">
        <v>53226</v>
      </c>
      <c r="AL5" t="s">
        <v>749</v>
      </c>
      <c r="AM5" t="s">
        <v>814</v>
      </c>
      <c r="AN5" t="s">
        <v>815</v>
      </c>
      <c r="AO5" t="s">
        <v>816</v>
      </c>
      <c r="AP5" t="s">
        <v>808</v>
      </c>
      <c r="AQ5">
        <v>8889384102</v>
      </c>
      <c r="AR5"/>
      <c r="AS5">
        <v>7632963296</v>
      </c>
      <c r="AT5" t="s">
        <v>817</v>
      </c>
      <c r="AU5" t="s">
        <v>810</v>
      </c>
      <c r="AV5" t="s">
        <v>749</v>
      </c>
      <c r="AW5" t="s">
        <v>811</v>
      </c>
      <c r="AX5" t="s">
        <v>812</v>
      </c>
      <c r="AY5" t="s">
        <v>813</v>
      </c>
      <c r="AZ5" s="576">
        <v>53226</v>
      </c>
      <c r="BA5" t="s">
        <v>749</v>
      </c>
      <c r="BB5"/>
      <c r="BC5"/>
      <c r="BD5"/>
      <c r="BE5"/>
      <c r="BF5"/>
      <c r="BG5"/>
      <c r="BH5"/>
      <c r="BI5"/>
      <c r="BJ5"/>
      <c r="BK5"/>
      <c r="BL5"/>
      <c r="BM5"/>
      <c r="BN5"/>
      <c r="BO5"/>
      <c r="BP5"/>
      <c r="BQ5"/>
      <c r="BR5"/>
      <c r="BS5"/>
      <c r="BT5"/>
      <c r="BU5"/>
      <c r="BV5"/>
      <c r="BW5"/>
      <c r="BX5"/>
      <c r="BY5"/>
      <c r="BZ5"/>
      <c r="CA5"/>
      <c r="CB5"/>
      <c r="CC5"/>
      <c r="CD5"/>
      <c r="CE5"/>
      <c r="CF5" t="s">
        <v>818</v>
      </c>
      <c r="CG5" t="s">
        <v>819</v>
      </c>
      <c r="CH5" t="s">
        <v>141</v>
      </c>
      <c r="CI5"/>
      <c r="CJ5"/>
      <c r="CK5"/>
      <c r="CL5"/>
      <c r="CM5">
        <v>1881168441</v>
      </c>
      <c r="CN5">
        <v>2521</v>
      </c>
      <c r="CO5">
        <v>2544</v>
      </c>
      <c r="CP5">
        <v>2552</v>
      </c>
      <c r="CQ5"/>
      <c r="CR5"/>
      <c r="CS5" t="s">
        <v>788</v>
      </c>
      <c r="CT5">
        <v>12</v>
      </c>
      <c r="CU5"/>
      <c r="CV5"/>
      <c r="CW5"/>
      <c r="CX5" t="s">
        <v>749</v>
      </c>
      <c r="CY5"/>
      <c r="CZ5" t="s">
        <v>749</v>
      </c>
      <c r="DA5" t="s">
        <v>749</v>
      </c>
      <c r="DB5" t="s">
        <v>749</v>
      </c>
      <c r="DC5" t="s">
        <v>749</v>
      </c>
      <c r="DD5"/>
      <c r="DE5"/>
      <c r="DF5"/>
      <c r="DG5"/>
      <c r="DH5"/>
      <c r="DI5"/>
      <c r="DJ5"/>
      <c r="DK5"/>
      <c r="DL5"/>
      <c r="DM5"/>
      <c r="DN5"/>
      <c r="DO5"/>
      <c r="DP5"/>
      <c r="DQ5"/>
      <c r="DR5"/>
      <c r="DS5"/>
      <c r="DT5"/>
      <c r="DU5"/>
      <c r="DV5"/>
      <c r="DW5"/>
      <c r="DX5"/>
      <c r="DY5"/>
      <c r="DZ5"/>
      <c r="EA5"/>
      <c r="EB5"/>
      <c r="EC5"/>
      <c r="ED5"/>
      <c r="EE5"/>
      <c r="EF5"/>
      <c r="EG5"/>
      <c r="EH5"/>
      <c r="EI5"/>
      <c r="EJ5"/>
      <c r="EK5"/>
      <c r="EL5"/>
      <c r="EM5"/>
      <c r="EN5">
        <v>217</v>
      </c>
      <c r="EO5" t="s">
        <v>820</v>
      </c>
      <c r="EP5"/>
      <c r="EQ5"/>
      <c r="ER5">
        <v>225</v>
      </c>
      <c r="ES5"/>
      <c r="ET5"/>
      <c r="EU5"/>
      <c r="EV5" s="439">
        <v>825</v>
      </c>
      <c r="EW5" t="s">
        <v>1356</v>
      </c>
      <c r="EX5" t="s">
        <v>1357</v>
      </c>
      <c r="EY5" t="s">
        <v>1358</v>
      </c>
      <c r="EZ5" t="s">
        <v>54</v>
      </c>
      <c r="FA5">
        <v>56431</v>
      </c>
      <c r="FB5"/>
    </row>
    <row r="6" spans="1:158" x14ac:dyDescent="0.2">
      <c r="A6" s="439">
        <v>1473</v>
      </c>
      <c r="B6" t="s">
        <v>821</v>
      </c>
      <c r="C6" t="s">
        <v>822</v>
      </c>
      <c r="D6" t="s">
        <v>823</v>
      </c>
      <c r="E6" t="s">
        <v>824</v>
      </c>
      <c r="F6"/>
      <c r="G6" t="s">
        <v>54</v>
      </c>
      <c r="H6" s="576">
        <v>55121</v>
      </c>
      <c r="I6" t="s">
        <v>749</v>
      </c>
      <c r="J6" t="s">
        <v>823</v>
      </c>
      <c r="K6" t="s">
        <v>824</v>
      </c>
      <c r="L6" t="s">
        <v>822</v>
      </c>
      <c r="M6" t="s">
        <v>749</v>
      </c>
      <c r="N6" t="s">
        <v>54</v>
      </c>
      <c r="O6" s="576">
        <v>55121</v>
      </c>
      <c r="P6" t="s">
        <v>749</v>
      </c>
      <c r="Q6">
        <v>8889383838</v>
      </c>
      <c r="R6"/>
      <c r="S6" t="s">
        <v>802</v>
      </c>
      <c r="T6" t="s">
        <v>803</v>
      </c>
      <c r="U6" t="s">
        <v>740</v>
      </c>
      <c r="V6" t="s">
        <v>804</v>
      </c>
      <c r="W6" t="s">
        <v>749</v>
      </c>
      <c r="X6" t="s">
        <v>805</v>
      </c>
      <c r="Y6" t="s">
        <v>806</v>
      </c>
      <c r="Z6" t="s">
        <v>807</v>
      </c>
      <c r="AA6" t="s">
        <v>808</v>
      </c>
      <c r="AB6">
        <v>8889384102</v>
      </c>
      <c r="AC6"/>
      <c r="AD6">
        <v>7632963296</v>
      </c>
      <c r="AE6" t="s">
        <v>809</v>
      </c>
      <c r="AF6" t="s">
        <v>810</v>
      </c>
      <c r="AG6" t="s">
        <v>749</v>
      </c>
      <c r="AH6" t="s">
        <v>811</v>
      </c>
      <c r="AI6" t="s">
        <v>812</v>
      </c>
      <c r="AJ6" t="s">
        <v>813</v>
      </c>
      <c r="AK6" s="576">
        <v>53226</v>
      </c>
      <c r="AL6" t="s">
        <v>749</v>
      </c>
      <c r="AM6" t="s">
        <v>814</v>
      </c>
      <c r="AN6" t="s">
        <v>815</v>
      </c>
      <c r="AO6" t="s">
        <v>816</v>
      </c>
      <c r="AP6" t="s">
        <v>808</v>
      </c>
      <c r="AQ6">
        <v>8889384102</v>
      </c>
      <c r="AR6"/>
      <c r="AS6">
        <v>7632963296</v>
      </c>
      <c r="AT6" t="s">
        <v>817</v>
      </c>
      <c r="AU6" t="s">
        <v>810</v>
      </c>
      <c r="AV6" t="s">
        <v>749</v>
      </c>
      <c r="AW6" t="s">
        <v>811</v>
      </c>
      <c r="AX6" t="s">
        <v>812</v>
      </c>
      <c r="AY6" t="s">
        <v>813</v>
      </c>
      <c r="AZ6" s="576">
        <v>53226</v>
      </c>
      <c r="BA6" t="s">
        <v>749</v>
      </c>
      <c r="BB6"/>
      <c r="BC6"/>
      <c r="BD6"/>
      <c r="BE6"/>
      <c r="BF6"/>
      <c r="BG6"/>
      <c r="BH6"/>
      <c r="BI6"/>
      <c r="BJ6"/>
      <c r="BK6"/>
      <c r="BL6"/>
      <c r="BM6"/>
      <c r="BN6"/>
      <c r="BO6"/>
      <c r="BP6"/>
      <c r="BQ6"/>
      <c r="BR6"/>
      <c r="BS6"/>
      <c r="BT6"/>
      <c r="BU6"/>
      <c r="BV6"/>
      <c r="BW6"/>
      <c r="BX6"/>
      <c r="BY6"/>
      <c r="BZ6"/>
      <c r="CA6"/>
      <c r="CB6"/>
      <c r="CC6"/>
      <c r="CD6"/>
      <c r="CE6"/>
      <c r="CF6" t="s">
        <v>825</v>
      </c>
      <c r="CG6" t="s">
        <v>819</v>
      </c>
      <c r="CH6" t="s">
        <v>141</v>
      </c>
      <c r="CI6"/>
      <c r="CJ6"/>
      <c r="CK6"/>
      <c r="CL6"/>
      <c r="CM6">
        <v>1881168441</v>
      </c>
      <c r="CN6">
        <v>702</v>
      </c>
      <c r="CO6">
        <v>2544</v>
      </c>
      <c r="CP6">
        <v>2552</v>
      </c>
      <c r="CQ6"/>
      <c r="CR6"/>
      <c r="CS6" s="577">
        <v>45657</v>
      </c>
      <c r="CT6">
        <v>12</v>
      </c>
      <c r="CU6"/>
      <c r="CV6"/>
      <c r="CW6"/>
      <c r="CX6" t="s">
        <v>749</v>
      </c>
      <c r="CY6"/>
      <c r="CZ6" t="s">
        <v>749</v>
      </c>
      <c r="DA6" t="s">
        <v>749</v>
      </c>
      <c r="DB6" t="s">
        <v>749</v>
      </c>
      <c r="DC6" t="s">
        <v>749</v>
      </c>
      <c r="DD6"/>
      <c r="DE6"/>
      <c r="DF6"/>
      <c r="DG6"/>
      <c r="DH6"/>
      <c r="DI6"/>
      <c r="DJ6"/>
      <c r="DK6"/>
      <c r="DL6"/>
      <c r="DM6"/>
      <c r="DN6"/>
      <c r="DO6"/>
      <c r="DP6"/>
      <c r="DQ6"/>
      <c r="DR6"/>
      <c r="DS6"/>
      <c r="DT6"/>
      <c r="DU6"/>
      <c r="DV6"/>
      <c r="DW6"/>
      <c r="DX6"/>
      <c r="DY6"/>
      <c r="DZ6"/>
      <c r="EA6"/>
      <c r="EB6"/>
      <c r="EC6"/>
      <c r="ED6"/>
      <c r="EE6"/>
      <c r="EF6"/>
      <c r="EG6"/>
      <c r="EH6"/>
      <c r="EI6"/>
      <c r="EJ6"/>
      <c r="EK6"/>
      <c r="EL6"/>
      <c r="EM6"/>
      <c r="EN6">
        <v>217</v>
      </c>
      <c r="EO6" t="s">
        <v>827</v>
      </c>
      <c r="EP6"/>
      <c r="EQ6"/>
      <c r="ER6">
        <v>225</v>
      </c>
      <c r="ES6"/>
      <c r="ET6"/>
      <c r="EU6"/>
      <c r="EV6" s="439">
        <v>4</v>
      </c>
      <c r="EW6" t="s">
        <v>2714</v>
      </c>
      <c r="EX6" t="s">
        <v>1357</v>
      </c>
      <c r="EY6" t="s">
        <v>1358</v>
      </c>
      <c r="EZ6" t="s">
        <v>54</v>
      </c>
      <c r="FA6">
        <v>56431</v>
      </c>
      <c r="FB6">
        <v>1942277835</v>
      </c>
    </row>
    <row r="7" spans="1:158" x14ac:dyDescent="0.2">
      <c r="A7" s="439">
        <v>1470</v>
      </c>
      <c r="B7" t="s">
        <v>828</v>
      </c>
      <c r="C7" t="s">
        <v>829</v>
      </c>
      <c r="D7" t="s">
        <v>830</v>
      </c>
      <c r="E7" t="s">
        <v>831</v>
      </c>
      <c r="F7"/>
      <c r="G7" t="s">
        <v>54</v>
      </c>
      <c r="H7" s="576">
        <v>55369</v>
      </c>
      <c r="I7" t="s">
        <v>749</v>
      </c>
      <c r="J7" t="s">
        <v>830</v>
      </c>
      <c r="K7" t="s">
        <v>831</v>
      </c>
      <c r="L7" t="s">
        <v>829</v>
      </c>
      <c r="M7" t="s">
        <v>749</v>
      </c>
      <c r="N7" t="s">
        <v>54</v>
      </c>
      <c r="O7" s="576">
        <v>55369</v>
      </c>
      <c r="P7" t="s">
        <v>749</v>
      </c>
      <c r="Q7">
        <v>8889383838</v>
      </c>
      <c r="R7"/>
      <c r="S7" t="s">
        <v>802</v>
      </c>
      <c r="T7" t="s">
        <v>803</v>
      </c>
      <c r="U7" t="s">
        <v>740</v>
      </c>
      <c r="V7" t="s">
        <v>804</v>
      </c>
      <c r="W7" t="s">
        <v>749</v>
      </c>
      <c r="X7" t="s">
        <v>805</v>
      </c>
      <c r="Y7" t="s">
        <v>806</v>
      </c>
      <c r="Z7" t="s">
        <v>807</v>
      </c>
      <c r="AA7" t="s">
        <v>808</v>
      </c>
      <c r="AB7">
        <v>8889384102</v>
      </c>
      <c r="AC7"/>
      <c r="AD7">
        <v>7632963296</v>
      </c>
      <c r="AE7" t="s">
        <v>809</v>
      </c>
      <c r="AF7" t="s">
        <v>810</v>
      </c>
      <c r="AG7" t="s">
        <v>749</v>
      </c>
      <c r="AH7" t="s">
        <v>811</v>
      </c>
      <c r="AI7" t="s">
        <v>812</v>
      </c>
      <c r="AJ7" t="s">
        <v>813</v>
      </c>
      <c r="AK7" s="576">
        <v>53226</v>
      </c>
      <c r="AL7" t="s">
        <v>749</v>
      </c>
      <c r="AM7" t="s">
        <v>814</v>
      </c>
      <c r="AN7" t="s">
        <v>815</v>
      </c>
      <c r="AO7" t="s">
        <v>816</v>
      </c>
      <c r="AP7" t="s">
        <v>808</v>
      </c>
      <c r="AQ7">
        <v>8889384102</v>
      </c>
      <c r="AR7"/>
      <c r="AS7">
        <v>7632963296</v>
      </c>
      <c r="AT7" t="s">
        <v>817</v>
      </c>
      <c r="AU7" t="s">
        <v>810</v>
      </c>
      <c r="AV7" t="s">
        <v>749</v>
      </c>
      <c r="AW7" t="s">
        <v>811</v>
      </c>
      <c r="AX7" t="s">
        <v>812</v>
      </c>
      <c r="AY7" t="s">
        <v>813</v>
      </c>
      <c r="AZ7" s="576">
        <v>53226</v>
      </c>
      <c r="BA7" t="s">
        <v>749</v>
      </c>
      <c r="BB7"/>
      <c r="BC7"/>
      <c r="BD7"/>
      <c r="BE7"/>
      <c r="BF7"/>
      <c r="BG7"/>
      <c r="BH7"/>
      <c r="BI7"/>
      <c r="BJ7"/>
      <c r="BK7"/>
      <c r="BL7"/>
      <c r="BM7"/>
      <c r="BN7"/>
      <c r="BO7"/>
      <c r="BP7"/>
      <c r="BQ7"/>
      <c r="BR7"/>
      <c r="BS7"/>
      <c r="BT7"/>
      <c r="BU7"/>
      <c r="BV7"/>
      <c r="BW7"/>
      <c r="BX7"/>
      <c r="BY7"/>
      <c r="BZ7"/>
      <c r="CA7"/>
      <c r="CB7"/>
      <c r="CC7"/>
      <c r="CD7"/>
      <c r="CE7"/>
      <c r="CF7" t="s">
        <v>832</v>
      </c>
      <c r="CG7" t="s">
        <v>819</v>
      </c>
      <c r="CH7" t="s">
        <v>141</v>
      </c>
      <c r="CI7"/>
      <c r="CJ7"/>
      <c r="CK7"/>
      <c r="CL7"/>
      <c r="CM7">
        <v>1881168441</v>
      </c>
      <c r="CN7">
        <v>854</v>
      </c>
      <c r="CO7">
        <v>2544</v>
      </c>
      <c r="CP7">
        <v>2552</v>
      </c>
      <c r="CQ7"/>
      <c r="CR7"/>
      <c r="CS7" t="s">
        <v>788</v>
      </c>
      <c r="CT7">
        <v>12</v>
      </c>
      <c r="CU7"/>
      <c r="CV7"/>
      <c r="CW7"/>
      <c r="CX7" t="s">
        <v>749</v>
      </c>
      <c r="CY7"/>
      <c r="CZ7" t="s">
        <v>749</v>
      </c>
      <c r="DA7" t="s">
        <v>749</v>
      </c>
      <c r="DB7" t="s">
        <v>749</v>
      </c>
      <c r="DC7" t="s">
        <v>749</v>
      </c>
      <c r="DD7"/>
      <c r="DE7"/>
      <c r="DF7"/>
      <c r="DG7"/>
      <c r="DH7"/>
      <c r="DI7"/>
      <c r="DJ7"/>
      <c r="DK7"/>
      <c r="DL7"/>
      <c r="DM7"/>
      <c r="DN7"/>
      <c r="DO7"/>
      <c r="DP7"/>
      <c r="DQ7"/>
      <c r="DR7"/>
      <c r="DS7"/>
      <c r="DT7"/>
      <c r="DU7"/>
      <c r="DV7"/>
      <c r="DW7"/>
      <c r="DX7"/>
      <c r="DY7"/>
      <c r="DZ7"/>
      <c r="EA7"/>
      <c r="EB7"/>
      <c r="EC7"/>
      <c r="ED7"/>
      <c r="EE7"/>
      <c r="EF7"/>
      <c r="EG7"/>
      <c r="EH7"/>
      <c r="EI7"/>
      <c r="EJ7"/>
      <c r="EK7"/>
      <c r="EL7"/>
      <c r="EM7"/>
      <c r="EN7">
        <v>217</v>
      </c>
      <c r="EO7" t="s">
        <v>833</v>
      </c>
      <c r="EP7"/>
      <c r="EQ7"/>
      <c r="ER7">
        <v>225</v>
      </c>
      <c r="ES7"/>
      <c r="ET7"/>
      <c r="EU7"/>
      <c r="EV7" s="439">
        <v>713</v>
      </c>
      <c r="EW7" t="s">
        <v>2715</v>
      </c>
      <c r="EX7" t="s">
        <v>2716</v>
      </c>
      <c r="EY7" t="s">
        <v>2717</v>
      </c>
      <c r="EZ7" t="s">
        <v>54</v>
      </c>
      <c r="FA7"/>
      <c r="FB7"/>
    </row>
    <row r="8" spans="1:158" x14ac:dyDescent="0.2">
      <c r="A8" s="439">
        <v>1466</v>
      </c>
      <c r="B8" t="s">
        <v>834</v>
      </c>
      <c r="C8" t="s">
        <v>835</v>
      </c>
      <c r="D8" t="s">
        <v>836</v>
      </c>
      <c r="E8" t="s">
        <v>837</v>
      </c>
      <c r="F8" t="s">
        <v>838</v>
      </c>
      <c r="G8" t="s">
        <v>54</v>
      </c>
      <c r="H8" s="576">
        <v>55125</v>
      </c>
      <c r="I8" t="s">
        <v>749</v>
      </c>
      <c r="J8" t="s">
        <v>836</v>
      </c>
      <c r="K8" t="s">
        <v>837</v>
      </c>
      <c r="L8" t="s">
        <v>835</v>
      </c>
      <c r="M8" t="s">
        <v>838</v>
      </c>
      <c r="N8" t="s">
        <v>54</v>
      </c>
      <c r="O8" s="576">
        <v>55125</v>
      </c>
      <c r="P8" t="s">
        <v>749</v>
      </c>
      <c r="Q8">
        <v>8889383838</v>
      </c>
      <c r="R8"/>
      <c r="S8" t="s">
        <v>802</v>
      </c>
      <c r="T8" t="s">
        <v>803</v>
      </c>
      <c r="U8" t="s">
        <v>740</v>
      </c>
      <c r="V8" t="s">
        <v>804</v>
      </c>
      <c r="W8" t="s">
        <v>749</v>
      </c>
      <c r="X8" t="s">
        <v>805</v>
      </c>
      <c r="Y8" t="s">
        <v>806</v>
      </c>
      <c r="Z8" t="s">
        <v>807</v>
      </c>
      <c r="AA8" t="s">
        <v>808</v>
      </c>
      <c r="AB8">
        <v>8889384102</v>
      </c>
      <c r="AC8"/>
      <c r="AD8">
        <v>7632963296</v>
      </c>
      <c r="AE8" t="s">
        <v>809</v>
      </c>
      <c r="AF8" t="s">
        <v>810</v>
      </c>
      <c r="AG8" t="s">
        <v>749</v>
      </c>
      <c r="AH8" t="s">
        <v>811</v>
      </c>
      <c r="AI8" t="s">
        <v>812</v>
      </c>
      <c r="AJ8" t="s">
        <v>813</v>
      </c>
      <c r="AK8" s="576">
        <v>53226</v>
      </c>
      <c r="AL8" t="s">
        <v>749</v>
      </c>
      <c r="AM8" t="s">
        <v>814</v>
      </c>
      <c r="AN8" t="s">
        <v>815</v>
      </c>
      <c r="AO8" t="s">
        <v>816</v>
      </c>
      <c r="AP8" t="s">
        <v>808</v>
      </c>
      <c r="AQ8">
        <v>8889384102</v>
      </c>
      <c r="AR8"/>
      <c r="AS8">
        <v>7632963296</v>
      </c>
      <c r="AT8" t="s">
        <v>817</v>
      </c>
      <c r="AU8" t="s">
        <v>810</v>
      </c>
      <c r="AV8" t="s">
        <v>749</v>
      </c>
      <c r="AW8" t="s">
        <v>811</v>
      </c>
      <c r="AX8" t="s">
        <v>812</v>
      </c>
      <c r="AY8" t="s">
        <v>813</v>
      </c>
      <c r="AZ8" s="576">
        <v>53226</v>
      </c>
      <c r="BA8" t="s">
        <v>749</v>
      </c>
      <c r="BB8"/>
      <c r="BC8"/>
      <c r="BD8"/>
      <c r="BE8"/>
      <c r="BF8"/>
      <c r="BG8"/>
      <c r="BH8"/>
      <c r="BI8"/>
      <c r="BJ8"/>
      <c r="BK8"/>
      <c r="BL8"/>
      <c r="BM8"/>
      <c r="BN8"/>
      <c r="BO8"/>
      <c r="BP8"/>
      <c r="BQ8"/>
      <c r="BR8"/>
      <c r="BS8"/>
      <c r="BT8"/>
      <c r="BU8"/>
      <c r="BV8"/>
      <c r="BW8"/>
      <c r="BX8"/>
      <c r="BY8"/>
      <c r="BZ8"/>
      <c r="CA8"/>
      <c r="CB8"/>
      <c r="CC8"/>
      <c r="CD8"/>
      <c r="CE8"/>
      <c r="CF8" t="s">
        <v>839</v>
      </c>
      <c r="CG8" t="s">
        <v>819</v>
      </c>
      <c r="CH8" t="s">
        <v>141</v>
      </c>
      <c r="CI8"/>
      <c r="CJ8"/>
      <c r="CK8"/>
      <c r="CL8"/>
      <c r="CM8">
        <v>1881168441</v>
      </c>
      <c r="CN8">
        <v>715</v>
      </c>
      <c r="CO8">
        <v>2544</v>
      </c>
      <c r="CP8">
        <v>2552</v>
      </c>
      <c r="CQ8"/>
      <c r="CR8"/>
      <c r="CS8" t="s">
        <v>788</v>
      </c>
      <c r="CT8">
        <v>12</v>
      </c>
      <c r="CU8"/>
      <c r="CV8"/>
      <c r="CW8"/>
      <c r="CX8" t="s">
        <v>749</v>
      </c>
      <c r="CY8"/>
      <c r="CZ8" t="s">
        <v>749</v>
      </c>
      <c r="DA8" t="s">
        <v>749</v>
      </c>
      <c r="DB8" t="s">
        <v>749</v>
      </c>
      <c r="DC8" t="s">
        <v>749</v>
      </c>
      <c r="DD8"/>
      <c r="DE8"/>
      <c r="DF8"/>
      <c r="DG8"/>
      <c r="DH8"/>
      <c r="DI8"/>
      <c r="DJ8"/>
      <c r="DK8"/>
      <c r="DL8"/>
      <c r="DM8"/>
      <c r="DN8"/>
      <c r="DO8"/>
      <c r="DP8"/>
      <c r="DQ8"/>
      <c r="DR8"/>
      <c r="DS8"/>
      <c r="DT8"/>
      <c r="DU8"/>
      <c r="DV8"/>
      <c r="DW8"/>
      <c r="DX8"/>
      <c r="DY8"/>
      <c r="DZ8"/>
      <c r="EA8"/>
      <c r="EB8"/>
      <c r="EC8"/>
      <c r="ED8"/>
      <c r="EE8"/>
      <c r="EF8"/>
      <c r="EG8"/>
      <c r="EH8"/>
      <c r="EI8"/>
      <c r="EJ8"/>
      <c r="EK8"/>
      <c r="EL8"/>
      <c r="EM8"/>
      <c r="EN8">
        <v>217</v>
      </c>
      <c r="EO8" t="s">
        <v>840</v>
      </c>
      <c r="EP8"/>
      <c r="EQ8"/>
      <c r="ER8">
        <v>225</v>
      </c>
      <c r="ES8"/>
      <c r="ET8"/>
      <c r="EU8"/>
      <c r="EV8" s="439">
        <v>100</v>
      </c>
      <c r="EW8" t="s">
        <v>2718</v>
      </c>
      <c r="EX8" t="s">
        <v>2716</v>
      </c>
      <c r="EY8" t="s">
        <v>2719</v>
      </c>
      <c r="EZ8" t="s">
        <v>54</v>
      </c>
      <c r="FA8">
        <v>56007</v>
      </c>
      <c r="FB8">
        <v>1346258100</v>
      </c>
    </row>
    <row r="9" spans="1:158" x14ac:dyDescent="0.2">
      <c r="A9" s="439">
        <v>677</v>
      </c>
      <c r="B9" t="s">
        <v>841</v>
      </c>
      <c r="C9" t="s">
        <v>842</v>
      </c>
      <c r="D9" t="s">
        <v>843</v>
      </c>
      <c r="E9"/>
      <c r="F9" t="s">
        <v>844</v>
      </c>
      <c r="G9" t="s">
        <v>54</v>
      </c>
      <c r="H9" s="576">
        <v>56201</v>
      </c>
      <c r="I9" s="576">
        <v>3556</v>
      </c>
      <c r="J9" t="s">
        <v>845</v>
      </c>
      <c r="K9"/>
      <c r="L9" t="s">
        <v>842</v>
      </c>
      <c r="M9" t="s">
        <v>844</v>
      </c>
      <c r="N9" t="s">
        <v>54</v>
      </c>
      <c r="O9" s="576">
        <v>56201</v>
      </c>
      <c r="P9"/>
      <c r="Q9">
        <v>3202146101</v>
      </c>
      <c r="R9">
        <v>3202146890</v>
      </c>
      <c r="S9" t="s">
        <v>846</v>
      </c>
      <c r="T9" t="s">
        <v>847</v>
      </c>
      <c r="U9" t="s">
        <v>742</v>
      </c>
      <c r="V9" t="s">
        <v>749</v>
      </c>
      <c r="W9" t="s">
        <v>749</v>
      </c>
      <c r="X9" t="s">
        <v>848</v>
      </c>
      <c r="Y9" t="s">
        <v>849</v>
      </c>
      <c r="Z9" t="s">
        <v>850</v>
      </c>
      <c r="AA9" t="s">
        <v>851</v>
      </c>
      <c r="AB9">
        <v>5076374500</v>
      </c>
      <c r="AC9">
        <v>47455</v>
      </c>
      <c r="AD9"/>
      <c r="AE9" t="s">
        <v>852</v>
      </c>
      <c r="AF9" t="s">
        <v>853</v>
      </c>
      <c r="AG9"/>
      <c r="AH9" t="s">
        <v>854</v>
      </c>
      <c r="AI9" t="s">
        <v>855</v>
      </c>
      <c r="AJ9" t="s">
        <v>54</v>
      </c>
      <c r="AK9" s="576">
        <v>56303</v>
      </c>
      <c r="AL9"/>
      <c r="AM9" t="s">
        <v>856</v>
      </c>
      <c r="AN9" t="s">
        <v>857</v>
      </c>
      <c r="AO9" t="s">
        <v>858</v>
      </c>
      <c r="AP9" t="s">
        <v>851</v>
      </c>
      <c r="AQ9">
        <v>3202512700</v>
      </c>
      <c r="AR9">
        <v>54558</v>
      </c>
      <c r="AS9"/>
      <c r="AT9" t="s">
        <v>859</v>
      </c>
      <c r="AU9" t="s">
        <v>853</v>
      </c>
      <c r="AV9"/>
      <c r="AW9" t="s">
        <v>854</v>
      </c>
      <c r="AX9" t="s">
        <v>855</v>
      </c>
      <c r="AY9" t="s">
        <v>54</v>
      </c>
      <c r="AZ9" s="576">
        <v>56303</v>
      </c>
      <c r="BA9"/>
      <c r="BB9"/>
      <c r="BC9"/>
      <c r="BD9"/>
      <c r="BE9"/>
      <c r="BF9"/>
      <c r="BG9"/>
      <c r="BH9"/>
      <c r="BI9"/>
      <c r="BJ9"/>
      <c r="BK9"/>
      <c r="BL9"/>
      <c r="BM9"/>
      <c r="BN9"/>
      <c r="BO9"/>
      <c r="BP9"/>
      <c r="BQ9" t="s">
        <v>856</v>
      </c>
      <c r="BR9" t="s">
        <v>857</v>
      </c>
      <c r="BS9" t="s">
        <v>858</v>
      </c>
      <c r="BT9" t="s">
        <v>851</v>
      </c>
      <c r="BU9">
        <v>3202512700</v>
      </c>
      <c r="BV9">
        <v>54558</v>
      </c>
      <c r="BW9"/>
      <c r="BX9" t="s">
        <v>859</v>
      </c>
      <c r="BY9" t="s">
        <v>853</v>
      </c>
      <c r="BZ9"/>
      <c r="CA9" t="s">
        <v>854</v>
      </c>
      <c r="CB9" t="s">
        <v>855</v>
      </c>
      <c r="CC9" t="s">
        <v>54</v>
      </c>
      <c r="CD9" s="576">
        <v>56303</v>
      </c>
      <c r="CE9"/>
      <c r="CF9" t="s">
        <v>749</v>
      </c>
      <c r="CG9" t="s">
        <v>851</v>
      </c>
      <c r="CH9" t="s">
        <v>141</v>
      </c>
      <c r="CI9" t="s">
        <v>860</v>
      </c>
      <c r="CJ9" t="s">
        <v>142</v>
      </c>
      <c r="CK9" t="s">
        <v>861</v>
      </c>
      <c r="CL9" t="s">
        <v>56</v>
      </c>
      <c r="CM9">
        <v>1952363699</v>
      </c>
      <c r="CN9">
        <v>316</v>
      </c>
      <c r="CO9">
        <v>211</v>
      </c>
      <c r="CP9">
        <v>209</v>
      </c>
      <c r="CQ9"/>
      <c r="CR9">
        <v>209</v>
      </c>
      <c r="CS9" t="s">
        <v>862</v>
      </c>
      <c r="CT9">
        <v>12</v>
      </c>
      <c r="CU9"/>
      <c r="CV9"/>
      <c r="CW9"/>
      <c r="CX9"/>
      <c r="CY9"/>
      <c r="CZ9"/>
      <c r="DA9"/>
      <c r="DB9"/>
      <c r="DC9"/>
      <c r="DD9">
        <v>128</v>
      </c>
      <c r="DE9" t="s">
        <v>863</v>
      </c>
      <c r="DF9"/>
      <c r="DG9"/>
      <c r="DH9">
        <v>129</v>
      </c>
      <c r="DI9" t="s">
        <v>864</v>
      </c>
      <c r="DJ9"/>
      <c r="DK9"/>
      <c r="DL9"/>
      <c r="DM9"/>
      <c r="DN9"/>
      <c r="DO9"/>
      <c r="DP9"/>
      <c r="DQ9"/>
      <c r="DR9"/>
      <c r="DS9"/>
      <c r="DT9"/>
      <c r="DU9"/>
      <c r="DV9"/>
      <c r="DW9"/>
      <c r="DX9"/>
      <c r="DY9"/>
      <c r="DZ9"/>
      <c r="EA9"/>
      <c r="EB9"/>
      <c r="EC9"/>
      <c r="ED9"/>
      <c r="EE9"/>
      <c r="EF9"/>
      <c r="EG9"/>
      <c r="EH9"/>
      <c r="EI9"/>
      <c r="EJ9"/>
      <c r="EK9"/>
      <c r="EL9"/>
      <c r="EM9"/>
      <c r="EN9"/>
      <c r="EO9"/>
      <c r="EP9"/>
      <c r="EQ9"/>
      <c r="ER9">
        <v>8</v>
      </c>
      <c r="ES9">
        <v>164</v>
      </c>
      <c r="ET9">
        <v>107</v>
      </c>
      <c r="EU9"/>
      <c r="EV9" s="439">
        <v>1864</v>
      </c>
      <c r="EW9" t="s">
        <v>2720</v>
      </c>
      <c r="EX9" t="s">
        <v>2716</v>
      </c>
      <c r="EY9" t="s">
        <v>2721</v>
      </c>
      <c r="EZ9" t="s">
        <v>54</v>
      </c>
      <c r="FA9">
        <v>56007</v>
      </c>
      <c r="FB9">
        <v>1245862697</v>
      </c>
    </row>
    <row r="10" spans="1:158" x14ac:dyDescent="0.2">
      <c r="A10" s="439">
        <v>672</v>
      </c>
      <c r="B10" t="s">
        <v>865</v>
      </c>
      <c r="C10" t="s">
        <v>866</v>
      </c>
      <c r="D10" t="s">
        <v>867</v>
      </c>
      <c r="E10" t="s">
        <v>749</v>
      </c>
      <c r="F10" t="s">
        <v>868</v>
      </c>
      <c r="G10" t="s">
        <v>54</v>
      </c>
      <c r="H10" s="576">
        <v>56308</v>
      </c>
      <c r="I10" s="576">
        <v>3703</v>
      </c>
      <c r="J10" t="s">
        <v>869</v>
      </c>
      <c r="K10" t="s">
        <v>870</v>
      </c>
      <c r="L10" t="s">
        <v>871</v>
      </c>
      <c r="M10" t="s">
        <v>744</v>
      </c>
      <c r="N10" t="s">
        <v>54</v>
      </c>
      <c r="O10" s="576">
        <v>55416</v>
      </c>
      <c r="P10"/>
      <c r="Q10">
        <v>3207626040</v>
      </c>
      <c r="R10">
        <v>3207626038</v>
      </c>
      <c r="S10" t="s">
        <v>872</v>
      </c>
      <c r="T10" t="s">
        <v>873</v>
      </c>
      <c r="U10" t="s">
        <v>874</v>
      </c>
      <c r="V10" t="s">
        <v>875</v>
      </c>
      <c r="W10" t="s">
        <v>876</v>
      </c>
      <c r="X10" t="s">
        <v>877</v>
      </c>
      <c r="Y10" t="s">
        <v>878</v>
      </c>
      <c r="Z10" t="s">
        <v>879</v>
      </c>
      <c r="AA10" t="s">
        <v>880</v>
      </c>
      <c r="AB10">
        <v>9525136831</v>
      </c>
      <c r="AC10"/>
      <c r="AD10">
        <v>9525136880</v>
      </c>
      <c r="AE10" t="s">
        <v>881</v>
      </c>
      <c r="AF10" t="s">
        <v>869</v>
      </c>
      <c r="AG10" t="s">
        <v>882</v>
      </c>
      <c r="AH10" t="s">
        <v>871</v>
      </c>
      <c r="AI10" t="s">
        <v>744</v>
      </c>
      <c r="AJ10" t="s">
        <v>54</v>
      </c>
      <c r="AK10" s="576">
        <v>55416</v>
      </c>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t="s">
        <v>883</v>
      </c>
      <c r="CG10" t="s">
        <v>884</v>
      </c>
      <c r="CH10" t="s">
        <v>142</v>
      </c>
      <c r="CI10" t="s">
        <v>885</v>
      </c>
      <c r="CJ10" t="s">
        <v>141</v>
      </c>
      <c r="CK10" t="s">
        <v>886</v>
      </c>
      <c r="CL10" t="s">
        <v>143</v>
      </c>
      <c r="CM10">
        <v>1659348092</v>
      </c>
      <c r="CN10">
        <v>183</v>
      </c>
      <c r="CO10">
        <v>142</v>
      </c>
      <c r="CP10"/>
      <c r="CQ10"/>
      <c r="CR10"/>
      <c r="CS10" t="s">
        <v>788</v>
      </c>
      <c r="CT10">
        <v>12</v>
      </c>
      <c r="CU10"/>
      <c r="CV10"/>
      <c r="CW10"/>
      <c r="CX10"/>
      <c r="CY10"/>
      <c r="CZ10"/>
      <c r="DA10"/>
      <c r="DB10"/>
      <c r="DC10"/>
      <c r="DD10">
        <v>128</v>
      </c>
      <c r="DE10" t="s">
        <v>887</v>
      </c>
      <c r="DF10">
        <v>131</v>
      </c>
      <c r="DG10" t="s">
        <v>888</v>
      </c>
      <c r="DH10">
        <v>129</v>
      </c>
      <c r="DI10" t="s">
        <v>889</v>
      </c>
      <c r="DJ10">
        <v>130</v>
      </c>
      <c r="DK10" t="s">
        <v>890</v>
      </c>
      <c r="DL10"/>
      <c r="DM10"/>
      <c r="DN10"/>
      <c r="DO10"/>
      <c r="DP10"/>
      <c r="DQ10"/>
      <c r="DR10"/>
      <c r="DS10"/>
      <c r="DT10"/>
      <c r="DU10"/>
      <c r="DV10"/>
      <c r="DW10"/>
      <c r="DX10"/>
      <c r="DY10"/>
      <c r="DZ10"/>
      <c r="EA10"/>
      <c r="EB10"/>
      <c r="EC10"/>
      <c r="ED10"/>
      <c r="EE10"/>
      <c r="EF10"/>
      <c r="EG10"/>
      <c r="EH10"/>
      <c r="EI10"/>
      <c r="EJ10"/>
      <c r="EK10"/>
      <c r="EL10"/>
      <c r="EM10"/>
      <c r="EN10"/>
      <c r="EO10"/>
      <c r="EP10"/>
      <c r="EQ10"/>
      <c r="ER10">
        <v>48</v>
      </c>
      <c r="ES10">
        <v>78</v>
      </c>
      <c r="ET10">
        <v>61</v>
      </c>
      <c r="EU10"/>
      <c r="EV10" s="439">
        <v>672</v>
      </c>
      <c r="EW10" t="s">
        <v>865</v>
      </c>
      <c r="EX10" t="s">
        <v>866</v>
      </c>
      <c r="EY10" t="s">
        <v>867</v>
      </c>
      <c r="EZ10" t="s">
        <v>54</v>
      </c>
      <c r="FA10">
        <v>56308</v>
      </c>
      <c r="FB10">
        <v>1659348092</v>
      </c>
    </row>
    <row r="11" spans="1:158" x14ac:dyDescent="0.2">
      <c r="A11" s="439">
        <v>1457</v>
      </c>
      <c r="B11" t="s">
        <v>891</v>
      </c>
      <c r="C11" t="s">
        <v>892</v>
      </c>
      <c r="D11" t="s">
        <v>893</v>
      </c>
      <c r="E11" t="s">
        <v>837</v>
      </c>
      <c r="F11" t="s">
        <v>744</v>
      </c>
      <c r="G11" t="s">
        <v>54</v>
      </c>
      <c r="H11" s="576">
        <v>55344</v>
      </c>
      <c r="I11"/>
      <c r="J11" t="s">
        <v>893</v>
      </c>
      <c r="K11" t="s">
        <v>837</v>
      </c>
      <c r="L11" t="s">
        <v>892</v>
      </c>
      <c r="M11" t="s">
        <v>744</v>
      </c>
      <c r="N11" t="s">
        <v>54</v>
      </c>
      <c r="O11" s="576">
        <v>55344</v>
      </c>
      <c r="P11"/>
      <c r="Q11">
        <v>9524280300</v>
      </c>
      <c r="R11"/>
      <c r="S11" t="s">
        <v>894</v>
      </c>
      <c r="T11" t="s">
        <v>895</v>
      </c>
      <c r="U11" t="s">
        <v>740</v>
      </c>
      <c r="V11" t="s">
        <v>896</v>
      </c>
      <c r="W11" t="s">
        <v>897</v>
      </c>
      <c r="X11" t="s">
        <v>894</v>
      </c>
      <c r="Y11" t="s">
        <v>895</v>
      </c>
      <c r="Z11" t="s">
        <v>898</v>
      </c>
      <c r="AA11" t="s">
        <v>899</v>
      </c>
      <c r="AB11">
        <v>6127754179</v>
      </c>
      <c r="AC11"/>
      <c r="AD11"/>
      <c r="AE11" t="s">
        <v>896</v>
      </c>
      <c r="AF11" t="s">
        <v>900</v>
      </c>
      <c r="AG11"/>
      <c r="AH11" t="s">
        <v>901</v>
      </c>
      <c r="AI11" t="s">
        <v>744</v>
      </c>
      <c r="AJ11" t="s">
        <v>54</v>
      </c>
      <c r="AK11" s="576">
        <v>55407</v>
      </c>
      <c r="AL11"/>
      <c r="AM11" t="s">
        <v>902</v>
      </c>
      <c r="AN11" t="s">
        <v>903</v>
      </c>
      <c r="AO11" t="s">
        <v>904</v>
      </c>
      <c r="AP11" t="s">
        <v>899</v>
      </c>
      <c r="AQ11">
        <v>6127754219</v>
      </c>
      <c r="AR11"/>
      <c r="AS11"/>
      <c r="AT11" t="s">
        <v>905</v>
      </c>
      <c r="AU11" t="s">
        <v>900</v>
      </c>
      <c r="AV11"/>
      <c r="AW11" t="s">
        <v>901</v>
      </c>
      <c r="AX11" t="s">
        <v>744</v>
      </c>
      <c r="AY11" t="s">
        <v>54</v>
      </c>
      <c r="AZ11" s="576">
        <v>55407</v>
      </c>
      <c r="BA11"/>
      <c r="BB11"/>
      <c r="BC11"/>
      <c r="BD11"/>
      <c r="BE11"/>
      <c r="BF11"/>
      <c r="BG11"/>
      <c r="BH11"/>
      <c r="BI11"/>
      <c r="BJ11"/>
      <c r="BK11"/>
      <c r="BL11"/>
      <c r="BM11"/>
      <c r="BN11"/>
      <c r="BO11"/>
      <c r="BP11"/>
      <c r="BQ11"/>
      <c r="BR11"/>
      <c r="BS11"/>
      <c r="BT11"/>
      <c r="BU11"/>
      <c r="BV11"/>
      <c r="BW11"/>
      <c r="BX11"/>
      <c r="BY11"/>
      <c r="BZ11"/>
      <c r="CA11"/>
      <c r="CB11"/>
      <c r="CC11"/>
      <c r="CD11"/>
      <c r="CE11"/>
      <c r="CF11" t="s">
        <v>906</v>
      </c>
      <c r="CG11" t="s">
        <v>907</v>
      </c>
      <c r="CH11" t="s">
        <v>141</v>
      </c>
      <c r="CI11"/>
      <c r="CJ11"/>
      <c r="CK11"/>
      <c r="CL11"/>
      <c r="CM11">
        <v>1679707632</v>
      </c>
      <c r="CN11">
        <v>44</v>
      </c>
      <c r="CO11">
        <v>439</v>
      </c>
      <c r="CP11">
        <v>441</v>
      </c>
      <c r="CQ11"/>
      <c r="CR11"/>
      <c r="CS11" t="s">
        <v>788</v>
      </c>
      <c r="CT11">
        <v>12</v>
      </c>
      <c r="CU11"/>
      <c r="CV11"/>
      <c r="CW11"/>
      <c r="CX11"/>
      <c r="CY11"/>
      <c r="CZ11"/>
      <c r="DA11"/>
      <c r="DB11"/>
      <c r="DC11"/>
      <c r="DD11"/>
      <c r="DE11"/>
      <c r="DF11"/>
      <c r="DG11"/>
      <c r="DH11"/>
      <c r="DI11"/>
      <c r="DJ11"/>
      <c r="DK11"/>
      <c r="DL11"/>
      <c r="DM11"/>
      <c r="DN11">
        <v>133</v>
      </c>
      <c r="DO11" t="s">
        <v>862</v>
      </c>
      <c r="DP11"/>
      <c r="DQ11"/>
      <c r="DR11"/>
      <c r="DS11"/>
      <c r="DT11"/>
      <c r="DU11"/>
      <c r="DV11"/>
      <c r="DW11"/>
      <c r="DX11"/>
      <c r="DY11"/>
      <c r="DZ11"/>
      <c r="EA11"/>
      <c r="EB11">
        <v>137</v>
      </c>
      <c r="EC11"/>
      <c r="ED11"/>
      <c r="EE11"/>
      <c r="EF11"/>
      <c r="EG11"/>
      <c r="EH11"/>
      <c r="EI11"/>
      <c r="EJ11"/>
      <c r="EK11"/>
      <c r="EL11"/>
      <c r="EM11"/>
      <c r="EN11"/>
      <c r="EO11"/>
      <c r="EP11"/>
      <c r="EQ11"/>
      <c r="ER11">
        <v>2</v>
      </c>
      <c r="ES11"/>
      <c r="ET11"/>
      <c r="EU11"/>
      <c r="EV11" s="439">
        <v>34</v>
      </c>
      <c r="EW11" t="s">
        <v>2722</v>
      </c>
      <c r="EX11" t="s">
        <v>866</v>
      </c>
      <c r="EY11" t="s">
        <v>2723</v>
      </c>
      <c r="EZ11" t="s">
        <v>54</v>
      </c>
      <c r="FA11">
        <v>56308</v>
      </c>
      <c r="FB11">
        <v>1164424305</v>
      </c>
    </row>
    <row r="12" spans="1:158" x14ac:dyDescent="0.2">
      <c r="A12" s="439">
        <v>1153</v>
      </c>
      <c r="B12" t="s">
        <v>908</v>
      </c>
      <c r="C12" t="s">
        <v>909</v>
      </c>
      <c r="D12" t="s">
        <v>910</v>
      </c>
      <c r="E12" t="s">
        <v>911</v>
      </c>
      <c r="F12" t="s">
        <v>912</v>
      </c>
      <c r="G12" t="s">
        <v>54</v>
      </c>
      <c r="H12" s="576">
        <v>55110</v>
      </c>
      <c r="I12"/>
      <c r="J12" t="s">
        <v>910</v>
      </c>
      <c r="K12" t="s">
        <v>911</v>
      </c>
      <c r="L12" t="s">
        <v>909</v>
      </c>
      <c r="M12" t="s">
        <v>912</v>
      </c>
      <c r="N12" t="s">
        <v>54</v>
      </c>
      <c r="O12" s="576">
        <v>55110</v>
      </c>
      <c r="P12"/>
      <c r="Q12">
        <v>6512419200</v>
      </c>
      <c r="R12"/>
      <c r="S12" t="s">
        <v>913</v>
      </c>
      <c r="T12" t="s">
        <v>914</v>
      </c>
      <c r="U12" t="s">
        <v>792</v>
      </c>
      <c r="V12" t="s">
        <v>915</v>
      </c>
      <c r="W12" t="s">
        <v>897</v>
      </c>
      <c r="X12" t="s">
        <v>916</v>
      </c>
      <c r="Y12" t="s">
        <v>917</v>
      </c>
      <c r="Z12" t="s">
        <v>751</v>
      </c>
      <c r="AA12" t="s">
        <v>899</v>
      </c>
      <c r="AB12"/>
      <c r="AC12"/>
      <c r="AD12"/>
      <c r="AE12" t="s">
        <v>918</v>
      </c>
      <c r="AF12" t="s">
        <v>919</v>
      </c>
      <c r="AG12"/>
      <c r="AH12" t="s">
        <v>901</v>
      </c>
      <c r="AI12" t="s">
        <v>744</v>
      </c>
      <c r="AJ12" t="s">
        <v>54</v>
      </c>
      <c r="AK12" s="576">
        <v>55407</v>
      </c>
      <c r="AL12"/>
      <c r="AM12" t="s">
        <v>920</v>
      </c>
      <c r="AN12" t="s">
        <v>921</v>
      </c>
      <c r="AO12" t="s">
        <v>922</v>
      </c>
      <c r="AP12" t="s">
        <v>899</v>
      </c>
      <c r="AQ12">
        <v>7636847903</v>
      </c>
      <c r="AR12"/>
      <c r="AS12"/>
      <c r="AT12" t="s">
        <v>923</v>
      </c>
      <c r="AU12" t="s">
        <v>919</v>
      </c>
      <c r="AV12"/>
      <c r="AW12" t="s">
        <v>901</v>
      </c>
      <c r="AX12" t="s">
        <v>744</v>
      </c>
      <c r="AY12" t="s">
        <v>54</v>
      </c>
      <c r="AZ12" s="576">
        <v>55407</v>
      </c>
      <c r="BA12"/>
      <c r="BB12" t="s">
        <v>924</v>
      </c>
      <c r="BC12" t="s">
        <v>925</v>
      </c>
      <c r="BD12" t="s">
        <v>926</v>
      </c>
      <c r="BE12" t="s">
        <v>899</v>
      </c>
      <c r="BF12">
        <v>6122623986</v>
      </c>
      <c r="BG12"/>
      <c r="BH12"/>
      <c r="BI12" t="s">
        <v>927</v>
      </c>
      <c r="BJ12" t="s">
        <v>919</v>
      </c>
      <c r="BK12"/>
      <c r="BL12" t="s">
        <v>901</v>
      </c>
      <c r="BM12" t="s">
        <v>744</v>
      </c>
      <c r="BN12" t="s">
        <v>54</v>
      </c>
      <c r="BO12" s="576">
        <v>55407</v>
      </c>
      <c r="BP12"/>
      <c r="BQ12"/>
      <c r="BR12"/>
      <c r="BS12"/>
      <c r="BT12"/>
      <c r="BU12"/>
      <c r="BV12"/>
      <c r="BW12"/>
      <c r="BX12"/>
      <c r="BY12"/>
      <c r="BZ12"/>
      <c r="CA12"/>
      <c r="CB12"/>
      <c r="CC12"/>
      <c r="CD12"/>
      <c r="CE12"/>
      <c r="CF12" t="s">
        <v>906</v>
      </c>
      <c r="CG12" t="s">
        <v>907</v>
      </c>
      <c r="CH12" t="s">
        <v>141</v>
      </c>
      <c r="CI12"/>
      <c r="CJ12"/>
      <c r="CK12"/>
      <c r="CL12"/>
      <c r="CM12">
        <v>1861798654</v>
      </c>
      <c r="CN12">
        <v>2131</v>
      </c>
      <c r="CO12">
        <v>181</v>
      </c>
      <c r="CP12">
        <v>182</v>
      </c>
      <c r="CQ12">
        <v>467</v>
      </c>
      <c r="CR12"/>
      <c r="CS12" t="s">
        <v>788</v>
      </c>
      <c r="CT12">
        <v>12</v>
      </c>
      <c r="CU12"/>
      <c r="CV12"/>
      <c r="CW12"/>
      <c r="CX12"/>
      <c r="CY12"/>
      <c r="CZ12"/>
      <c r="DA12"/>
      <c r="DB12"/>
      <c r="DC12"/>
      <c r="DD12"/>
      <c r="DE12"/>
      <c r="DF12"/>
      <c r="DG12"/>
      <c r="DH12">
        <v>129</v>
      </c>
      <c r="DI12" t="s">
        <v>928</v>
      </c>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v>2</v>
      </c>
      <c r="ES12"/>
      <c r="ET12"/>
      <c r="EU12"/>
      <c r="EV12" s="439">
        <v>381</v>
      </c>
      <c r="EW12" t="s">
        <v>2724</v>
      </c>
      <c r="EX12" t="s">
        <v>866</v>
      </c>
      <c r="EY12" t="s">
        <v>2725</v>
      </c>
      <c r="EZ12" t="s">
        <v>54</v>
      </c>
      <c r="FA12">
        <v>56308</v>
      </c>
      <c r="FB12">
        <v>1912329871</v>
      </c>
    </row>
    <row r="13" spans="1:158" x14ac:dyDescent="0.2">
      <c r="A13" s="439">
        <v>1677</v>
      </c>
      <c r="B13" t="s">
        <v>929</v>
      </c>
      <c r="C13" t="s">
        <v>747</v>
      </c>
      <c r="D13" t="s">
        <v>930</v>
      </c>
      <c r="E13" t="s">
        <v>931</v>
      </c>
      <c r="F13" t="s">
        <v>746</v>
      </c>
      <c r="G13" t="s">
        <v>54</v>
      </c>
      <c r="H13" s="576">
        <v>55044</v>
      </c>
      <c r="I13" t="s">
        <v>749</v>
      </c>
      <c r="J13" t="s">
        <v>930</v>
      </c>
      <c r="K13" t="s">
        <v>931</v>
      </c>
      <c r="L13" t="s">
        <v>747</v>
      </c>
      <c r="M13" t="s">
        <v>746</v>
      </c>
      <c r="N13" t="s">
        <v>54</v>
      </c>
      <c r="O13" s="576">
        <v>55044</v>
      </c>
      <c r="P13" t="s">
        <v>749</v>
      </c>
      <c r="Q13">
        <v>9524280950</v>
      </c>
      <c r="R13"/>
      <c r="S13" t="s">
        <v>749</v>
      </c>
      <c r="T13" t="s">
        <v>749</v>
      </c>
      <c r="U13" t="s">
        <v>740</v>
      </c>
      <c r="V13" t="s">
        <v>749</v>
      </c>
      <c r="W13" t="s">
        <v>897</v>
      </c>
      <c r="X13" t="s">
        <v>916</v>
      </c>
      <c r="Y13" t="s">
        <v>917</v>
      </c>
      <c r="Z13" t="s">
        <v>751</v>
      </c>
      <c r="AA13" t="s">
        <v>899</v>
      </c>
      <c r="AB13"/>
      <c r="AC13"/>
      <c r="AD13"/>
      <c r="AE13" t="s">
        <v>918</v>
      </c>
      <c r="AF13" t="s">
        <v>919</v>
      </c>
      <c r="AG13"/>
      <c r="AH13" t="s">
        <v>901</v>
      </c>
      <c r="AI13" t="s">
        <v>744</v>
      </c>
      <c r="AJ13" t="s">
        <v>54</v>
      </c>
      <c r="AK13" s="576">
        <v>55407</v>
      </c>
      <c r="AL13"/>
      <c r="AM13" t="s">
        <v>920</v>
      </c>
      <c r="AN13" t="s">
        <v>921</v>
      </c>
      <c r="AO13" t="s">
        <v>922</v>
      </c>
      <c r="AP13" t="s">
        <v>899</v>
      </c>
      <c r="AQ13">
        <v>7636847903</v>
      </c>
      <c r="AR13"/>
      <c r="AS13"/>
      <c r="AT13" t="s">
        <v>923</v>
      </c>
      <c r="AU13" t="s">
        <v>919</v>
      </c>
      <c r="AV13"/>
      <c r="AW13" t="s">
        <v>901</v>
      </c>
      <c r="AX13" t="s">
        <v>744</v>
      </c>
      <c r="AY13" t="s">
        <v>54</v>
      </c>
      <c r="AZ13" s="576">
        <v>55407</v>
      </c>
      <c r="BA13"/>
      <c r="BB13" t="s">
        <v>924</v>
      </c>
      <c r="BC13" t="s">
        <v>925</v>
      </c>
      <c r="BD13" t="s">
        <v>926</v>
      </c>
      <c r="BE13" t="s">
        <v>899</v>
      </c>
      <c r="BF13">
        <v>6122623986</v>
      </c>
      <c r="BG13"/>
      <c r="BH13"/>
      <c r="BI13" t="s">
        <v>927</v>
      </c>
      <c r="BJ13" t="s">
        <v>919</v>
      </c>
      <c r="BK13"/>
      <c r="BL13" t="s">
        <v>901</v>
      </c>
      <c r="BM13" t="s">
        <v>744</v>
      </c>
      <c r="BN13" t="s">
        <v>54</v>
      </c>
      <c r="BO13" s="576">
        <v>55407</v>
      </c>
      <c r="BP13"/>
      <c r="BQ13"/>
      <c r="BR13"/>
      <c r="BS13"/>
      <c r="BT13"/>
      <c r="BU13"/>
      <c r="BV13"/>
      <c r="BW13"/>
      <c r="BX13"/>
      <c r="BY13"/>
      <c r="BZ13"/>
      <c r="CA13"/>
      <c r="CB13"/>
      <c r="CC13"/>
      <c r="CD13"/>
      <c r="CE13"/>
      <c r="CF13" t="s">
        <v>932</v>
      </c>
      <c r="CG13" t="s">
        <v>907</v>
      </c>
      <c r="CH13" t="s">
        <v>141</v>
      </c>
      <c r="CI13"/>
      <c r="CJ13"/>
      <c r="CK13"/>
      <c r="CL13"/>
      <c r="CM13">
        <v>1003683244</v>
      </c>
      <c r="CN13">
        <v>464</v>
      </c>
      <c r="CO13">
        <v>181</v>
      </c>
      <c r="CP13">
        <v>182</v>
      </c>
      <c r="CQ13">
        <v>467</v>
      </c>
      <c r="CR13"/>
      <c r="CS13" t="s">
        <v>788</v>
      </c>
      <c r="CT13">
        <v>11</v>
      </c>
      <c r="CU13"/>
      <c r="CV13"/>
      <c r="CW13"/>
      <c r="CX13" t="s">
        <v>749</v>
      </c>
      <c r="CY13"/>
      <c r="CZ13" t="s">
        <v>749</v>
      </c>
      <c r="DA13" t="s">
        <v>749</v>
      </c>
      <c r="DB13" t="s">
        <v>749</v>
      </c>
      <c r="DC13" t="s">
        <v>749</v>
      </c>
      <c r="DD13">
        <v>128</v>
      </c>
      <c r="DE13" t="s">
        <v>933</v>
      </c>
      <c r="DF13"/>
      <c r="DG13"/>
      <c r="DH13">
        <v>129</v>
      </c>
      <c r="DI13" t="s">
        <v>933</v>
      </c>
      <c r="DJ13"/>
      <c r="DK13"/>
      <c r="DL13"/>
      <c r="DM13"/>
      <c r="DN13"/>
      <c r="DO13"/>
      <c r="DP13"/>
      <c r="DQ13"/>
      <c r="DR13"/>
      <c r="DS13"/>
      <c r="DT13"/>
      <c r="DU13"/>
      <c r="DV13"/>
      <c r="DW13"/>
      <c r="DX13"/>
      <c r="DY13"/>
      <c r="DZ13"/>
      <c r="EA13"/>
      <c r="EB13">
        <v>137</v>
      </c>
      <c r="EC13"/>
      <c r="ED13"/>
      <c r="EE13"/>
      <c r="EF13"/>
      <c r="EG13"/>
      <c r="EH13"/>
      <c r="EI13"/>
      <c r="EJ13"/>
      <c r="EK13"/>
      <c r="EL13"/>
      <c r="EM13"/>
      <c r="EN13"/>
      <c r="EO13"/>
      <c r="EP13"/>
      <c r="EQ13"/>
      <c r="ER13">
        <v>2</v>
      </c>
      <c r="ES13"/>
      <c r="ET13"/>
      <c r="EU13"/>
      <c r="EV13" s="439">
        <v>1316</v>
      </c>
      <c r="EW13" t="s">
        <v>1393</v>
      </c>
      <c r="EX13" t="s">
        <v>866</v>
      </c>
      <c r="EY13" t="s">
        <v>1394</v>
      </c>
      <c r="EZ13" t="s">
        <v>54</v>
      </c>
      <c r="FA13">
        <v>56308</v>
      </c>
      <c r="FB13">
        <v>1598710477</v>
      </c>
    </row>
    <row r="14" spans="1:158" x14ac:dyDescent="0.2">
      <c r="A14" s="439">
        <v>1443</v>
      </c>
      <c r="B14" t="s">
        <v>934</v>
      </c>
      <c r="C14" t="s">
        <v>935</v>
      </c>
      <c r="D14" t="s">
        <v>936</v>
      </c>
      <c r="E14"/>
      <c r="F14" t="s">
        <v>746</v>
      </c>
      <c r="G14" t="s">
        <v>54</v>
      </c>
      <c r="H14" s="576">
        <v>55124</v>
      </c>
      <c r="I14"/>
      <c r="J14" t="s">
        <v>936</v>
      </c>
      <c r="K14"/>
      <c r="L14" t="s">
        <v>935</v>
      </c>
      <c r="M14" t="s">
        <v>746</v>
      </c>
      <c r="N14" t="s">
        <v>54</v>
      </c>
      <c r="O14" s="576">
        <v>55124</v>
      </c>
      <c r="P14"/>
      <c r="Q14">
        <v>6512413779</v>
      </c>
      <c r="R14"/>
      <c r="S14" t="s">
        <v>937</v>
      </c>
      <c r="T14" t="s">
        <v>938</v>
      </c>
      <c r="U14" t="s">
        <v>792</v>
      </c>
      <c r="V14" t="s">
        <v>939</v>
      </c>
      <c r="W14" t="s">
        <v>897</v>
      </c>
      <c r="X14" t="s">
        <v>916</v>
      </c>
      <c r="Y14" t="s">
        <v>917</v>
      </c>
      <c r="Z14" t="s">
        <v>751</v>
      </c>
      <c r="AA14" t="s">
        <v>899</v>
      </c>
      <c r="AB14"/>
      <c r="AC14"/>
      <c r="AD14"/>
      <c r="AE14" t="s">
        <v>918</v>
      </c>
      <c r="AF14" t="s">
        <v>919</v>
      </c>
      <c r="AG14"/>
      <c r="AH14" t="s">
        <v>901</v>
      </c>
      <c r="AI14" t="s">
        <v>744</v>
      </c>
      <c r="AJ14" t="s">
        <v>54</v>
      </c>
      <c r="AK14" s="576">
        <v>55407</v>
      </c>
      <c r="AL14"/>
      <c r="AM14" t="s">
        <v>920</v>
      </c>
      <c r="AN14" t="s">
        <v>921</v>
      </c>
      <c r="AO14" t="s">
        <v>922</v>
      </c>
      <c r="AP14" t="s">
        <v>899</v>
      </c>
      <c r="AQ14">
        <v>7636847903</v>
      </c>
      <c r="AR14"/>
      <c r="AS14"/>
      <c r="AT14" t="s">
        <v>923</v>
      </c>
      <c r="AU14" t="s">
        <v>919</v>
      </c>
      <c r="AV14"/>
      <c r="AW14" t="s">
        <v>901</v>
      </c>
      <c r="AX14" t="s">
        <v>744</v>
      </c>
      <c r="AY14" t="s">
        <v>54</v>
      </c>
      <c r="AZ14" s="576">
        <v>55407</v>
      </c>
      <c r="BA14"/>
      <c r="BB14" t="s">
        <v>924</v>
      </c>
      <c r="BC14" t="s">
        <v>925</v>
      </c>
      <c r="BD14" t="s">
        <v>926</v>
      </c>
      <c r="BE14" t="s">
        <v>899</v>
      </c>
      <c r="BF14">
        <v>6122623986</v>
      </c>
      <c r="BG14"/>
      <c r="BH14"/>
      <c r="BI14" t="s">
        <v>927</v>
      </c>
      <c r="BJ14" t="s">
        <v>919</v>
      </c>
      <c r="BK14"/>
      <c r="BL14" t="s">
        <v>901</v>
      </c>
      <c r="BM14" t="s">
        <v>744</v>
      </c>
      <c r="BN14" t="s">
        <v>54</v>
      </c>
      <c r="BO14" s="576">
        <v>55407</v>
      </c>
      <c r="BP14"/>
      <c r="BQ14"/>
      <c r="BR14"/>
      <c r="BS14"/>
      <c r="BT14"/>
      <c r="BU14"/>
      <c r="BV14"/>
      <c r="BW14"/>
      <c r="BX14"/>
      <c r="BY14"/>
      <c r="BZ14"/>
      <c r="CA14"/>
      <c r="CB14"/>
      <c r="CC14"/>
      <c r="CD14"/>
      <c r="CE14"/>
      <c r="CF14" t="s">
        <v>906</v>
      </c>
      <c r="CG14" t="s">
        <v>907</v>
      </c>
      <c r="CH14" t="s">
        <v>141</v>
      </c>
      <c r="CI14"/>
      <c r="CJ14"/>
      <c r="CK14"/>
      <c r="CL14"/>
      <c r="CM14">
        <v>1760097976</v>
      </c>
      <c r="CN14">
        <v>383</v>
      </c>
      <c r="CO14">
        <v>181</v>
      </c>
      <c r="CP14">
        <v>182</v>
      </c>
      <c r="CQ14">
        <v>467</v>
      </c>
      <c r="CR14"/>
      <c r="CS14" t="s">
        <v>788</v>
      </c>
      <c r="CT14">
        <v>12</v>
      </c>
      <c r="CU14"/>
      <c r="CV14"/>
      <c r="CW14"/>
      <c r="CX14"/>
      <c r="CY14"/>
      <c r="CZ14"/>
      <c r="DA14"/>
      <c r="DB14"/>
      <c r="DC14"/>
      <c r="DD14">
        <v>128</v>
      </c>
      <c r="DE14" t="s">
        <v>940</v>
      </c>
      <c r="DF14"/>
      <c r="DG14"/>
      <c r="DH14">
        <v>129</v>
      </c>
      <c r="DI14" t="s">
        <v>941</v>
      </c>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v>2</v>
      </c>
      <c r="ES14"/>
      <c r="ET14"/>
      <c r="EU14"/>
      <c r="EV14" s="439">
        <v>248</v>
      </c>
      <c r="EW14" t="s">
        <v>2726</v>
      </c>
      <c r="EX14" t="s">
        <v>866</v>
      </c>
      <c r="EY14" t="s">
        <v>2727</v>
      </c>
      <c r="EZ14" t="s">
        <v>54</v>
      </c>
      <c r="FA14">
        <v>56308</v>
      </c>
      <c r="FB14">
        <v>1386676799</v>
      </c>
    </row>
    <row r="15" spans="1:158" x14ac:dyDescent="0.2">
      <c r="A15" s="439">
        <v>758</v>
      </c>
      <c r="B15" t="s">
        <v>942</v>
      </c>
      <c r="C15" t="s">
        <v>943</v>
      </c>
      <c r="D15" t="s">
        <v>944</v>
      </c>
      <c r="E15"/>
      <c r="F15" t="s">
        <v>838</v>
      </c>
      <c r="G15" t="s">
        <v>54</v>
      </c>
      <c r="H15" s="576">
        <v>55025</v>
      </c>
      <c r="I15"/>
      <c r="J15" t="s">
        <v>944</v>
      </c>
      <c r="K15"/>
      <c r="L15" t="s">
        <v>943</v>
      </c>
      <c r="M15" t="s">
        <v>838</v>
      </c>
      <c r="N15" t="s">
        <v>54</v>
      </c>
      <c r="O15" s="576">
        <v>55025</v>
      </c>
      <c r="P15"/>
      <c r="Q15">
        <v>6514647100</v>
      </c>
      <c r="R15">
        <v>6519825515</v>
      </c>
      <c r="S15" t="s">
        <v>945</v>
      </c>
      <c r="T15" t="s">
        <v>946</v>
      </c>
      <c r="U15" t="s">
        <v>740</v>
      </c>
      <c r="V15" t="s">
        <v>947</v>
      </c>
      <c r="W15" t="s">
        <v>897</v>
      </c>
      <c r="X15" t="s">
        <v>916</v>
      </c>
      <c r="Y15" t="s">
        <v>917</v>
      </c>
      <c r="Z15" t="s">
        <v>751</v>
      </c>
      <c r="AA15" t="s">
        <v>899</v>
      </c>
      <c r="AB15"/>
      <c r="AC15"/>
      <c r="AD15"/>
      <c r="AE15" t="s">
        <v>918</v>
      </c>
      <c r="AF15" t="s">
        <v>919</v>
      </c>
      <c r="AG15"/>
      <c r="AH15" t="s">
        <v>901</v>
      </c>
      <c r="AI15" t="s">
        <v>744</v>
      </c>
      <c r="AJ15" t="s">
        <v>54</v>
      </c>
      <c r="AK15" s="576">
        <v>55407</v>
      </c>
      <c r="AL15"/>
      <c r="AM15" t="s">
        <v>920</v>
      </c>
      <c r="AN15" t="s">
        <v>921</v>
      </c>
      <c r="AO15" t="s">
        <v>922</v>
      </c>
      <c r="AP15" t="s">
        <v>899</v>
      </c>
      <c r="AQ15">
        <v>7636847903</v>
      </c>
      <c r="AR15"/>
      <c r="AS15"/>
      <c r="AT15" t="s">
        <v>923</v>
      </c>
      <c r="AU15" t="s">
        <v>919</v>
      </c>
      <c r="AV15"/>
      <c r="AW15" t="s">
        <v>901</v>
      </c>
      <c r="AX15" t="s">
        <v>744</v>
      </c>
      <c r="AY15" t="s">
        <v>54</v>
      </c>
      <c r="AZ15" s="576">
        <v>55407</v>
      </c>
      <c r="BA15"/>
      <c r="BB15" t="s">
        <v>924</v>
      </c>
      <c r="BC15" t="s">
        <v>925</v>
      </c>
      <c r="BD15" t="s">
        <v>926</v>
      </c>
      <c r="BE15" t="s">
        <v>899</v>
      </c>
      <c r="BF15">
        <v>6122623986</v>
      </c>
      <c r="BG15"/>
      <c r="BH15"/>
      <c r="BI15" t="s">
        <v>927</v>
      </c>
      <c r="BJ15" t="s">
        <v>919</v>
      </c>
      <c r="BK15"/>
      <c r="BL15" t="s">
        <v>901</v>
      </c>
      <c r="BM15" t="s">
        <v>744</v>
      </c>
      <c r="BN15" t="s">
        <v>54</v>
      </c>
      <c r="BO15" s="576">
        <v>55407</v>
      </c>
      <c r="BP15"/>
      <c r="BQ15"/>
      <c r="BR15"/>
      <c r="BS15"/>
      <c r="BT15"/>
      <c r="BU15"/>
      <c r="BV15"/>
      <c r="BW15"/>
      <c r="BX15"/>
      <c r="BY15"/>
      <c r="BZ15"/>
      <c r="CA15"/>
      <c r="CB15"/>
      <c r="CC15"/>
      <c r="CD15"/>
      <c r="CE15"/>
      <c r="CF15" t="s">
        <v>906</v>
      </c>
      <c r="CG15" t="s">
        <v>907</v>
      </c>
      <c r="CH15" t="s">
        <v>141</v>
      </c>
      <c r="CI15"/>
      <c r="CJ15"/>
      <c r="CK15"/>
      <c r="CL15"/>
      <c r="CM15">
        <v>1760421135</v>
      </c>
      <c r="CN15">
        <v>430</v>
      </c>
      <c r="CO15">
        <v>181</v>
      </c>
      <c r="CP15">
        <v>182</v>
      </c>
      <c r="CQ15">
        <v>467</v>
      </c>
      <c r="CR15"/>
      <c r="CS15" t="s">
        <v>788</v>
      </c>
      <c r="CT15">
        <v>12</v>
      </c>
      <c r="CU15"/>
      <c r="CV15"/>
      <c r="CW15"/>
      <c r="CX15"/>
      <c r="CY15"/>
      <c r="CZ15"/>
      <c r="DA15"/>
      <c r="DB15"/>
      <c r="DC15"/>
      <c r="DD15">
        <v>128</v>
      </c>
      <c r="DE15" t="s">
        <v>948</v>
      </c>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v>2</v>
      </c>
      <c r="ES15"/>
      <c r="ET15"/>
      <c r="EU15"/>
      <c r="EV15" s="439">
        <v>334</v>
      </c>
      <c r="EW15" t="s">
        <v>2728</v>
      </c>
      <c r="EX15" t="s">
        <v>866</v>
      </c>
      <c r="EY15" t="s">
        <v>2729</v>
      </c>
      <c r="EZ15" t="s">
        <v>54</v>
      </c>
      <c r="FA15">
        <v>56308</v>
      </c>
      <c r="FB15">
        <v>1003802950</v>
      </c>
    </row>
    <row r="16" spans="1:158" x14ac:dyDescent="0.2">
      <c r="A16" s="439">
        <v>686</v>
      </c>
      <c r="B16" t="s">
        <v>949</v>
      </c>
      <c r="C16" t="s">
        <v>950</v>
      </c>
      <c r="D16" t="s">
        <v>951</v>
      </c>
      <c r="E16"/>
      <c r="F16" t="s">
        <v>952</v>
      </c>
      <c r="G16" t="s">
        <v>54</v>
      </c>
      <c r="H16" s="576">
        <v>55057</v>
      </c>
      <c r="I16" s="576">
        <v>3081</v>
      </c>
      <c r="J16" t="s">
        <v>951</v>
      </c>
      <c r="K16"/>
      <c r="L16" t="s">
        <v>950</v>
      </c>
      <c r="M16" t="s">
        <v>952</v>
      </c>
      <c r="N16" t="s">
        <v>54</v>
      </c>
      <c r="O16" s="576">
        <v>55057</v>
      </c>
      <c r="P16"/>
      <c r="Q16">
        <v>5076639000</v>
      </c>
      <c r="R16"/>
      <c r="S16" t="s">
        <v>953</v>
      </c>
      <c r="T16" t="s">
        <v>954</v>
      </c>
      <c r="U16" t="s">
        <v>740</v>
      </c>
      <c r="V16" t="s">
        <v>955</v>
      </c>
      <c r="W16" t="s">
        <v>897</v>
      </c>
      <c r="X16" t="s">
        <v>916</v>
      </c>
      <c r="Y16" t="s">
        <v>917</v>
      </c>
      <c r="Z16" t="s">
        <v>751</v>
      </c>
      <c r="AA16" t="s">
        <v>899</v>
      </c>
      <c r="AB16"/>
      <c r="AC16"/>
      <c r="AD16"/>
      <c r="AE16" t="s">
        <v>918</v>
      </c>
      <c r="AF16" t="s">
        <v>919</v>
      </c>
      <c r="AG16"/>
      <c r="AH16" t="s">
        <v>901</v>
      </c>
      <c r="AI16" t="s">
        <v>744</v>
      </c>
      <c r="AJ16" t="s">
        <v>54</v>
      </c>
      <c r="AK16" s="576">
        <v>55407</v>
      </c>
      <c r="AL16"/>
      <c r="AM16" t="s">
        <v>920</v>
      </c>
      <c r="AN16" t="s">
        <v>921</v>
      </c>
      <c r="AO16" t="s">
        <v>922</v>
      </c>
      <c r="AP16" t="s">
        <v>899</v>
      </c>
      <c r="AQ16">
        <v>7636847903</v>
      </c>
      <c r="AR16"/>
      <c r="AS16"/>
      <c r="AT16" t="s">
        <v>923</v>
      </c>
      <c r="AU16" t="s">
        <v>919</v>
      </c>
      <c r="AV16"/>
      <c r="AW16" t="s">
        <v>901</v>
      </c>
      <c r="AX16" t="s">
        <v>744</v>
      </c>
      <c r="AY16" t="s">
        <v>54</v>
      </c>
      <c r="AZ16" s="576">
        <v>55407</v>
      </c>
      <c r="BA16"/>
      <c r="BB16" t="s">
        <v>924</v>
      </c>
      <c r="BC16" t="s">
        <v>925</v>
      </c>
      <c r="BD16" t="s">
        <v>926</v>
      </c>
      <c r="BE16" t="s">
        <v>899</v>
      </c>
      <c r="BF16">
        <v>6122623986</v>
      </c>
      <c r="BG16"/>
      <c r="BH16"/>
      <c r="BI16" t="s">
        <v>927</v>
      </c>
      <c r="BJ16" t="s">
        <v>919</v>
      </c>
      <c r="BK16"/>
      <c r="BL16" t="s">
        <v>901</v>
      </c>
      <c r="BM16" t="s">
        <v>744</v>
      </c>
      <c r="BN16" t="s">
        <v>54</v>
      </c>
      <c r="BO16" s="576">
        <v>55407</v>
      </c>
      <c r="BP16"/>
      <c r="BQ16"/>
      <c r="BR16"/>
      <c r="BS16"/>
      <c r="BT16"/>
      <c r="BU16"/>
      <c r="BV16"/>
      <c r="BW16"/>
      <c r="BX16"/>
      <c r="BY16"/>
      <c r="BZ16"/>
      <c r="CA16"/>
      <c r="CB16"/>
      <c r="CC16"/>
      <c r="CD16"/>
      <c r="CE16"/>
      <c r="CF16" t="s">
        <v>906</v>
      </c>
      <c r="CG16" t="s">
        <v>907</v>
      </c>
      <c r="CH16" t="s">
        <v>141</v>
      </c>
      <c r="CI16"/>
      <c r="CJ16"/>
      <c r="CK16"/>
      <c r="CL16"/>
      <c r="CM16">
        <v>1619919214</v>
      </c>
      <c r="CN16">
        <v>431</v>
      </c>
      <c r="CO16">
        <v>181</v>
      </c>
      <c r="CP16">
        <v>182</v>
      </c>
      <c r="CQ16">
        <v>467</v>
      </c>
      <c r="CR16"/>
      <c r="CS16" t="s">
        <v>788</v>
      </c>
      <c r="CT16">
        <v>12</v>
      </c>
      <c r="CU16"/>
      <c r="CV16"/>
      <c r="CW16"/>
      <c r="CX16"/>
      <c r="CY16"/>
      <c r="CZ16"/>
      <c r="DA16"/>
      <c r="DB16"/>
      <c r="DC16"/>
      <c r="DD16">
        <v>128</v>
      </c>
      <c r="DE16" t="s">
        <v>956</v>
      </c>
      <c r="DF16"/>
      <c r="DG16"/>
      <c r="DH16">
        <v>129</v>
      </c>
      <c r="DI16" t="s">
        <v>957</v>
      </c>
      <c r="DJ16">
        <v>130</v>
      </c>
      <c r="DK16" t="s">
        <v>958</v>
      </c>
      <c r="DL16"/>
      <c r="DM16"/>
      <c r="DN16"/>
      <c r="DO16"/>
      <c r="DP16"/>
      <c r="DQ16"/>
      <c r="DR16"/>
      <c r="DS16"/>
      <c r="DT16"/>
      <c r="DU16"/>
      <c r="DV16"/>
      <c r="DW16"/>
      <c r="DX16"/>
      <c r="DY16"/>
      <c r="DZ16"/>
      <c r="EA16"/>
      <c r="EB16"/>
      <c r="EC16"/>
      <c r="ED16"/>
      <c r="EE16"/>
      <c r="EF16"/>
      <c r="EG16"/>
      <c r="EH16"/>
      <c r="EI16"/>
      <c r="EJ16"/>
      <c r="EK16"/>
      <c r="EL16"/>
      <c r="EM16"/>
      <c r="EN16"/>
      <c r="EO16"/>
      <c r="EP16"/>
      <c r="EQ16"/>
      <c r="ER16">
        <v>2</v>
      </c>
      <c r="ES16"/>
      <c r="ET16"/>
      <c r="EU16"/>
      <c r="EV16" s="439">
        <v>1018</v>
      </c>
      <c r="EW16" t="s">
        <v>1754</v>
      </c>
      <c r="EX16" t="s">
        <v>866</v>
      </c>
      <c r="EY16" t="s">
        <v>1756</v>
      </c>
      <c r="EZ16" t="s">
        <v>54</v>
      </c>
      <c r="FA16">
        <v>56308</v>
      </c>
      <c r="FB16">
        <v>1659301992</v>
      </c>
    </row>
    <row r="17" spans="1:158" x14ac:dyDescent="0.2">
      <c r="A17" s="439">
        <v>693</v>
      </c>
      <c r="B17" t="s">
        <v>959</v>
      </c>
      <c r="C17" t="s">
        <v>835</v>
      </c>
      <c r="D17" t="s">
        <v>960</v>
      </c>
      <c r="E17"/>
      <c r="F17" t="s">
        <v>838</v>
      </c>
      <c r="G17" t="s">
        <v>54</v>
      </c>
      <c r="H17" s="576">
        <v>55125</v>
      </c>
      <c r="I17" s="576">
        <v>2337</v>
      </c>
      <c r="J17" t="s">
        <v>960</v>
      </c>
      <c r="K17"/>
      <c r="L17" t="s">
        <v>835</v>
      </c>
      <c r="M17" t="s">
        <v>838</v>
      </c>
      <c r="N17" t="s">
        <v>54</v>
      </c>
      <c r="O17" s="576">
        <v>55125</v>
      </c>
      <c r="P17" s="576">
        <v>2337</v>
      </c>
      <c r="Q17">
        <v>6512413040</v>
      </c>
      <c r="R17"/>
      <c r="S17" t="s">
        <v>961</v>
      </c>
      <c r="T17" t="s">
        <v>962</v>
      </c>
      <c r="U17" t="s">
        <v>740</v>
      </c>
      <c r="V17" t="s">
        <v>963</v>
      </c>
      <c r="W17" t="s">
        <v>897</v>
      </c>
      <c r="X17" t="s">
        <v>916</v>
      </c>
      <c r="Y17" t="s">
        <v>917</v>
      </c>
      <c r="Z17" t="s">
        <v>751</v>
      </c>
      <c r="AA17" t="s">
        <v>899</v>
      </c>
      <c r="AB17"/>
      <c r="AC17"/>
      <c r="AD17"/>
      <c r="AE17" t="s">
        <v>918</v>
      </c>
      <c r="AF17" t="s">
        <v>919</v>
      </c>
      <c r="AG17"/>
      <c r="AH17" t="s">
        <v>901</v>
      </c>
      <c r="AI17" t="s">
        <v>744</v>
      </c>
      <c r="AJ17" t="s">
        <v>54</v>
      </c>
      <c r="AK17" s="576">
        <v>55407</v>
      </c>
      <c r="AL17"/>
      <c r="AM17" t="s">
        <v>920</v>
      </c>
      <c r="AN17" t="s">
        <v>921</v>
      </c>
      <c r="AO17" t="s">
        <v>922</v>
      </c>
      <c r="AP17" t="s">
        <v>899</v>
      </c>
      <c r="AQ17">
        <v>7636847903</v>
      </c>
      <c r="AR17"/>
      <c r="AS17"/>
      <c r="AT17" t="s">
        <v>923</v>
      </c>
      <c r="AU17" t="s">
        <v>919</v>
      </c>
      <c r="AV17"/>
      <c r="AW17" t="s">
        <v>901</v>
      </c>
      <c r="AX17" t="s">
        <v>744</v>
      </c>
      <c r="AY17" t="s">
        <v>54</v>
      </c>
      <c r="AZ17" s="576">
        <v>55407</v>
      </c>
      <c r="BA17"/>
      <c r="BB17" t="s">
        <v>924</v>
      </c>
      <c r="BC17" t="s">
        <v>925</v>
      </c>
      <c r="BD17" t="s">
        <v>926</v>
      </c>
      <c r="BE17" t="s">
        <v>899</v>
      </c>
      <c r="BF17">
        <v>6122623986</v>
      </c>
      <c r="BG17"/>
      <c r="BH17"/>
      <c r="BI17" t="s">
        <v>927</v>
      </c>
      <c r="BJ17" t="s">
        <v>919</v>
      </c>
      <c r="BK17"/>
      <c r="BL17" t="s">
        <v>901</v>
      </c>
      <c r="BM17" t="s">
        <v>744</v>
      </c>
      <c r="BN17" t="s">
        <v>54</v>
      </c>
      <c r="BO17" s="576">
        <v>55407</v>
      </c>
      <c r="BP17"/>
      <c r="BQ17" t="s">
        <v>916</v>
      </c>
      <c r="BR17" t="s">
        <v>917</v>
      </c>
      <c r="BS17" t="s">
        <v>751</v>
      </c>
      <c r="BT17" t="s">
        <v>899</v>
      </c>
      <c r="BU17"/>
      <c r="BV17"/>
      <c r="BW17"/>
      <c r="BX17" t="s">
        <v>918</v>
      </c>
      <c r="BY17" t="s">
        <v>919</v>
      </c>
      <c r="BZ17"/>
      <c r="CA17" t="s">
        <v>901</v>
      </c>
      <c r="CB17" t="s">
        <v>744</v>
      </c>
      <c r="CC17" t="s">
        <v>54</v>
      </c>
      <c r="CD17" s="576">
        <v>55407</v>
      </c>
      <c r="CE17"/>
      <c r="CF17" t="s">
        <v>906</v>
      </c>
      <c r="CG17" t="s">
        <v>907</v>
      </c>
      <c r="CH17" t="s">
        <v>141</v>
      </c>
      <c r="CI17"/>
      <c r="CJ17"/>
      <c r="CK17"/>
      <c r="CL17"/>
      <c r="CM17">
        <v>1134169071</v>
      </c>
      <c r="CN17">
        <v>432</v>
      </c>
      <c r="CO17">
        <v>181</v>
      </c>
      <c r="CP17">
        <v>182</v>
      </c>
      <c r="CQ17">
        <v>467</v>
      </c>
      <c r="CR17">
        <v>181</v>
      </c>
      <c r="CS17" t="s">
        <v>788</v>
      </c>
      <c r="CT17">
        <v>12</v>
      </c>
      <c r="CU17"/>
      <c r="CV17"/>
      <c r="CW17"/>
      <c r="CX17"/>
      <c r="CY17"/>
      <c r="CZ17"/>
      <c r="DA17"/>
      <c r="DB17"/>
      <c r="DC17"/>
      <c r="DD17">
        <v>128</v>
      </c>
      <c r="DE17" t="s">
        <v>964</v>
      </c>
      <c r="DF17"/>
      <c r="DG17"/>
      <c r="DH17">
        <v>129</v>
      </c>
      <c r="DI17" t="s">
        <v>965</v>
      </c>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v>2</v>
      </c>
      <c r="ES17"/>
      <c r="ET17"/>
      <c r="EU17"/>
      <c r="EV17" s="439">
        <v>409</v>
      </c>
      <c r="EW17" t="s">
        <v>2730</v>
      </c>
      <c r="EX17" t="s">
        <v>866</v>
      </c>
      <c r="EY17" t="s">
        <v>2731</v>
      </c>
      <c r="EZ17" t="s">
        <v>54</v>
      </c>
      <c r="FA17">
        <v>56308</v>
      </c>
      <c r="FB17">
        <v>1346808714</v>
      </c>
    </row>
    <row r="18" spans="1:158" x14ac:dyDescent="0.2">
      <c r="A18" s="439">
        <v>1405</v>
      </c>
      <c r="B18" t="s">
        <v>966</v>
      </c>
      <c r="C18" t="s">
        <v>967</v>
      </c>
      <c r="D18" t="s">
        <v>968</v>
      </c>
      <c r="E18" t="s">
        <v>911</v>
      </c>
      <c r="F18" t="s">
        <v>744</v>
      </c>
      <c r="G18" t="s">
        <v>54</v>
      </c>
      <c r="H18" s="576">
        <v>55435</v>
      </c>
      <c r="I18"/>
      <c r="J18" t="s">
        <v>968</v>
      </c>
      <c r="K18" t="s">
        <v>911</v>
      </c>
      <c r="L18" t="s">
        <v>967</v>
      </c>
      <c r="M18" t="s">
        <v>744</v>
      </c>
      <c r="N18" t="s">
        <v>54</v>
      </c>
      <c r="O18" s="576">
        <v>55435</v>
      </c>
      <c r="P18"/>
      <c r="Q18">
        <v>9524281073</v>
      </c>
      <c r="R18"/>
      <c r="S18" t="s">
        <v>969</v>
      </c>
      <c r="T18" t="s">
        <v>970</v>
      </c>
      <c r="U18" t="s">
        <v>971</v>
      </c>
      <c r="V18" t="s">
        <v>972</v>
      </c>
      <c r="W18" t="s">
        <v>897</v>
      </c>
      <c r="X18" t="s">
        <v>916</v>
      </c>
      <c r="Y18" t="s">
        <v>917</v>
      </c>
      <c r="Z18" t="s">
        <v>751</v>
      </c>
      <c r="AA18" t="s">
        <v>899</v>
      </c>
      <c r="AB18"/>
      <c r="AC18"/>
      <c r="AD18"/>
      <c r="AE18" t="s">
        <v>918</v>
      </c>
      <c r="AF18" t="s">
        <v>919</v>
      </c>
      <c r="AG18"/>
      <c r="AH18" t="s">
        <v>901</v>
      </c>
      <c r="AI18" t="s">
        <v>744</v>
      </c>
      <c r="AJ18" t="s">
        <v>54</v>
      </c>
      <c r="AK18" s="576">
        <v>55407</v>
      </c>
      <c r="AL18"/>
      <c r="AM18" t="s">
        <v>920</v>
      </c>
      <c r="AN18" t="s">
        <v>921</v>
      </c>
      <c r="AO18" t="s">
        <v>922</v>
      </c>
      <c r="AP18" t="s">
        <v>899</v>
      </c>
      <c r="AQ18">
        <v>7636847903</v>
      </c>
      <c r="AR18"/>
      <c r="AS18"/>
      <c r="AT18" t="s">
        <v>923</v>
      </c>
      <c r="AU18" t="s">
        <v>919</v>
      </c>
      <c r="AV18"/>
      <c r="AW18" t="s">
        <v>901</v>
      </c>
      <c r="AX18" t="s">
        <v>744</v>
      </c>
      <c r="AY18" t="s">
        <v>54</v>
      </c>
      <c r="AZ18" s="576">
        <v>55407</v>
      </c>
      <c r="BA18"/>
      <c r="BB18" t="s">
        <v>924</v>
      </c>
      <c r="BC18" t="s">
        <v>925</v>
      </c>
      <c r="BD18" t="s">
        <v>926</v>
      </c>
      <c r="BE18" t="s">
        <v>899</v>
      </c>
      <c r="BF18">
        <v>6122623986</v>
      </c>
      <c r="BG18"/>
      <c r="BH18"/>
      <c r="BI18" t="s">
        <v>927</v>
      </c>
      <c r="BJ18" t="s">
        <v>919</v>
      </c>
      <c r="BK18"/>
      <c r="BL18" t="s">
        <v>901</v>
      </c>
      <c r="BM18" t="s">
        <v>744</v>
      </c>
      <c r="BN18" t="s">
        <v>54</v>
      </c>
      <c r="BO18" s="576">
        <v>55407</v>
      </c>
      <c r="BP18"/>
      <c r="BQ18"/>
      <c r="BR18"/>
      <c r="BS18"/>
      <c r="BT18"/>
      <c r="BU18"/>
      <c r="BV18"/>
      <c r="BW18"/>
      <c r="BX18"/>
      <c r="BY18"/>
      <c r="BZ18"/>
      <c r="CA18"/>
      <c r="CB18"/>
      <c r="CC18"/>
      <c r="CD18"/>
      <c r="CE18"/>
      <c r="CF18" t="s">
        <v>906</v>
      </c>
      <c r="CG18" t="s">
        <v>907</v>
      </c>
      <c r="CH18" t="s">
        <v>141</v>
      </c>
      <c r="CI18"/>
      <c r="CJ18"/>
      <c r="CK18"/>
      <c r="CL18"/>
      <c r="CM18">
        <v>1871006700</v>
      </c>
      <c r="CN18">
        <v>180</v>
      </c>
      <c r="CO18">
        <v>181</v>
      </c>
      <c r="CP18">
        <v>182</v>
      </c>
      <c r="CQ18">
        <v>467</v>
      </c>
      <c r="CR18"/>
      <c r="CS18" t="s">
        <v>788</v>
      </c>
      <c r="CT18">
        <v>12</v>
      </c>
      <c r="CU18"/>
      <c r="CV18"/>
      <c r="CW18"/>
      <c r="CX18"/>
      <c r="CY18"/>
      <c r="CZ18"/>
      <c r="DA18"/>
      <c r="DB18"/>
      <c r="DC18"/>
      <c r="DD18">
        <v>128</v>
      </c>
      <c r="DE18" t="s">
        <v>973</v>
      </c>
      <c r="DF18"/>
      <c r="DG18"/>
      <c r="DH18">
        <v>129</v>
      </c>
      <c r="DI18" t="s">
        <v>974</v>
      </c>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v>2</v>
      </c>
      <c r="ES18"/>
      <c r="ET18"/>
      <c r="EU18"/>
      <c r="EV18" s="439">
        <v>249</v>
      </c>
      <c r="EW18" t="s">
        <v>2732</v>
      </c>
      <c r="EX18" t="s">
        <v>2733</v>
      </c>
      <c r="EY18" t="s">
        <v>2734</v>
      </c>
      <c r="EZ18" t="s">
        <v>54</v>
      </c>
      <c r="FA18">
        <v>55302</v>
      </c>
      <c r="FB18">
        <v>1225130487</v>
      </c>
    </row>
    <row r="19" spans="1:158" x14ac:dyDescent="0.2">
      <c r="A19" s="439">
        <v>1375</v>
      </c>
      <c r="B19" t="s">
        <v>975</v>
      </c>
      <c r="C19" t="s">
        <v>976</v>
      </c>
      <c r="D19" t="s">
        <v>977</v>
      </c>
      <c r="E19" t="s">
        <v>978</v>
      </c>
      <c r="F19" t="s">
        <v>979</v>
      </c>
      <c r="G19" t="s">
        <v>54</v>
      </c>
      <c r="H19" s="576">
        <v>56716</v>
      </c>
      <c r="I19" t="s">
        <v>749</v>
      </c>
      <c r="J19" t="s">
        <v>977</v>
      </c>
      <c r="K19" t="s">
        <v>978</v>
      </c>
      <c r="L19" t="s">
        <v>976</v>
      </c>
      <c r="M19" t="s">
        <v>979</v>
      </c>
      <c r="N19" t="s">
        <v>54</v>
      </c>
      <c r="O19" s="576">
        <v>56716</v>
      </c>
      <c r="P19" t="s">
        <v>749</v>
      </c>
      <c r="Q19">
        <v>2182819100</v>
      </c>
      <c r="R19">
        <v>2182819189</v>
      </c>
      <c r="S19" t="s">
        <v>980</v>
      </c>
      <c r="T19" t="s">
        <v>981</v>
      </c>
      <c r="U19" t="s">
        <v>982</v>
      </c>
      <c r="V19" t="s">
        <v>983</v>
      </c>
      <c r="W19" t="s">
        <v>984</v>
      </c>
      <c r="X19" t="s">
        <v>985</v>
      </c>
      <c r="Y19" t="s">
        <v>986</v>
      </c>
      <c r="Z19" t="s">
        <v>987</v>
      </c>
      <c r="AA19" t="s">
        <v>988</v>
      </c>
      <c r="AB19">
        <v>7017805277</v>
      </c>
      <c r="AC19"/>
      <c r="AD19"/>
      <c r="AE19" t="s">
        <v>989</v>
      </c>
      <c r="AF19" t="s">
        <v>990</v>
      </c>
      <c r="AG19" t="s">
        <v>749</v>
      </c>
      <c r="AH19" t="s">
        <v>991</v>
      </c>
      <c r="AI19" t="s">
        <v>749</v>
      </c>
      <c r="AJ19" t="s">
        <v>992</v>
      </c>
      <c r="AK19" s="576">
        <v>58201</v>
      </c>
      <c r="AL19" t="s">
        <v>749</v>
      </c>
      <c r="AM19" t="s">
        <v>993</v>
      </c>
      <c r="AN19" t="s">
        <v>994</v>
      </c>
      <c r="AO19" t="s">
        <v>995</v>
      </c>
      <c r="AP19" t="s">
        <v>975</v>
      </c>
      <c r="AQ19">
        <v>7017805263</v>
      </c>
      <c r="AR19"/>
      <c r="AS19"/>
      <c r="AT19" t="s">
        <v>996</v>
      </c>
      <c r="AU19" t="s">
        <v>977</v>
      </c>
      <c r="AV19" t="s">
        <v>749</v>
      </c>
      <c r="AW19" t="s">
        <v>976</v>
      </c>
      <c r="AX19" t="s">
        <v>979</v>
      </c>
      <c r="AY19" t="s">
        <v>54</v>
      </c>
      <c r="AZ19" s="576">
        <v>56716</v>
      </c>
      <c r="BA19" t="s">
        <v>749</v>
      </c>
      <c r="BB19"/>
      <c r="BC19"/>
      <c r="BD19"/>
      <c r="BE19"/>
      <c r="BF19"/>
      <c r="BG19"/>
      <c r="BH19"/>
      <c r="BI19"/>
      <c r="BJ19"/>
      <c r="BK19"/>
      <c r="BL19"/>
      <c r="BM19"/>
      <c r="BN19"/>
      <c r="BO19"/>
      <c r="BP19"/>
      <c r="BQ19" t="s">
        <v>997</v>
      </c>
      <c r="BR19" t="s">
        <v>998</v>
      </c>
      <c r="BS19" t="s">
        <v>999</v>
      </c>
      <c r="BT19" t="s">
        <v>988</v>
      </c>
      <c r="BU19">
        <v>7017801470</v>
      </c>
      <c r="BV19"/>
      <c r="BW19"/>
      <c r="BX19" t="s">
        <v>1000</v>
      </c>
      <c r="BY19" t="s">
        <v>990</v>
      </c>
      <c r="BZ19" t="s">
        <v>749</v>
      </c>
      <c r="CA19" t="s">
        <v>991</v>
      </c>
      <c r="CB19" t="s">
        <v>749</v>
      </c>
      <c r="CC19" t="s">
        <v>992</v>
      </c>
      <c r="CD19" s="576">
        <v>58201</v>
      </c>
      <c r="CE19" t="s">
        <v>749</v>
      </c>
      <c r="CF19" t="s">
        <v>1001</v>
      </c>
      <c r="CG19" t="s">
        <v>988</v>
      </c>
      <c r="CH19" t="s">
        <v>141</v>
      </c>
      <c r="CI19"/>
      <c r="CJ19"/>
      <c r="CK19"/>
      <c r="CL19"/>
      <c r="CM19">
        <v>1760494330</v>
      </c>
      <c r="CN19">
        <v>2400</v>
      </c>
      <c r="CO19">
        <v>2442</v>
      </c>
      <c r="CP19">
        <v>2440</v>
      </c>
      <c r="CQ19"/>
      <c r="CR19">
        <v>2443</v>
      </c>
      <c r="CS19" t="s">
        <v>788</v>
      </c>
      <c r="CT19">
        <v>12</v>
      </c>
      <c r="CU19"/>
      <c r="CV19"/>
      <c r="CW19"/>
      <c r="CX19" t="s">
        <v>749</v>
      </c>
      <c r="CY19"/>
      <c r="CZ19" t="s">
        <v>749</v>
      </c>
      <c r="DA19" t="s">
        <v>749</v>
      </c>
      <c r="DB19" t="s">
        <v>749</v>
      </c>
      <c r="DC19" t="s">
        <v>749</v>
      </c>
      <c r="DD19"/>
      <c r="DE19"/>
      <c r="DF19"/>
      <c r="DG19"/>
      <c r="DH19"/>
      <c r="DI19"/>
      <c r="DJ19"/>
      <c r="DK19"/>
      <c r="DL19"/>
      <c r="DM19"/>
      <c r="DN19"/>
      <c r="DO19"/>
      <c r="DP19"/>
      <c r="DQ19"/>
      <c r="DR19"/>
      <c r="DS19"/>
      <c r="DT19"/>
      <c r="DU19"/>
      <c r="DV19"/>
      <c r="DW19"/>
      <c r="DX19">
        <v>135</v>
      </c>
      <c r="DY19" t="s">
        <v>1002</v>
      </c>
      <c r="DZ19"/>
      <c r="EA19"/>
      <c r="EB19"/>
      <c r="EC19"/>
      <c r="ED19"/>
      <c r="EE19"/>
      <c r="EF19"/>
      <c r="EG19"/>
      <c r="EH19"/>
      <c r="EI19"/>
      <c r="EJ19"/>
      <c r="EK19"/>
      <c r="EL19"/>
      <c r="EM19"/>
      <c r="EN19"/>
      <c r="EO19"/>
      <c r="EP19"/>
      <c r="EQ19"/>
      <c r="ER19">
        <v>110</v>
      </c>
      <c r="ES19"/>
      <c r="ET19"/>
      <c r="EU19"/>
      <c r="EV19" s="439">
        <v>200</v>
      </c>
      <c r="EW19" t="s">
        <v>2735</v>
      </c>
      <c r="EX19" t="s">
        <v>801</v>
      </c>
      <c r="EY19" t="s">
        <v>2736</v>
      </c>
      <c r="EZ19" t="s">
        <v>54</v>
      </c>
      <c r="FA19">
        <v>55303</v>
      </c>
      <c r="FB19">
        <v>1275585564</v>
      </c>
    </row>
    <row r="20" spans="1:158" x14ac:dyDescent="0.2">
      <c r="A20" s="439">
        <v>1023</v>
      </c>
      <c r="B20" t="s">
        <v>1003</v>
      </c>
      <c r="C20" t="s">
        <v>1004</v>
      </c>
      <c r="D20" t="s">
        <v>1005</v>
      </c>
      <c r="E20" t="s">
        <v>1006</v>
      </c>
      <c r="F20" t="s">
        <v>746</v>
      </c>
      <c r="G20" t="s">
        <v>54</v>
      </c>
      <c r="H20" s="576">
        <v>55076</v>
      </c>
      <c r="I20"/>
      <c r="J20" t="s">
        <v>1005</v>
      </c>
      <c r="K20" t="s">
        <v>1006</v>
      </c>
      <c r="L20" t="s">
        <v>1004</v>
      </c>
      <c r="M20" t="s">
        <v>746</v>
      </c>
      <c r="N20" t="s">
        <v>54</v>
      </c>
      <c r="O20" s="576">
        <v>55076</v>
      </c>
      <c r="P20"/>
      <c r="Q20">
        <v>6518887800</v>
      </c>
      <c r="R20">
        <v>6518887801</v>
      </c>
      <c r="S20" t="s">
        <v>1007</v>
      </c>
      <c r="T20" t="s">
        <v>1008</v>
      </c>
      <c r="U20" t="s">
        <v>1009</v>
      </c>
      <c r="V20" t="s">
        <v>1010</v>
      </c>
      <c r="W20" t="s">
        <v>1011</v>
      </c>
      <c r="X20" t="s">
        <v>1012</v>
      </c>
      <c r="Y20" t="s">
        <v>1013</v>
      </c>
      <c r="Z20" t="s">
        <v>1014</v>
      </c>
      <c r="AA20" t="s">
        <v>1003</v>
      </c>
      <c r="AB20">
        <v>6518887800</v>
      </c>
      <c r="AC20"/>
      <c r="AD20">
        <v>6518887801</v>
      </c>
      <c r="AE20" t="s">
        <v>1015</v>
      </c>
      <c r="AF20" t="s">
        <v>1005</v>
      </c>
      <c r="AG20" t="s">
        <v>1006</v>
      </c>
      <c r="AH20" t="s">
        <v>1004</v>
      </c>
      <c r="AI20" t="s">
        <v>746</v>
      </c>
      <c r="AJ20" t="s">
        <v>54</v>
      </c>
      <c r="AK20" s="576">
        <v>55076</v>
      </c>
      <c r="AL20"/>
      <c r="AM20" t="s">
        <v>1016</v>
      </c>
      <c r="AN20" t="s">
        <v>1013</v>
      </c>
      <c r="AO20"/>
      <c r="AP20" t="s">
        <v>1003</v>
      </c>
      <c r="AQ20">
        <v>6518887800</v>
      </c>
      <c r="AR20"/>
      <c r="AS20">
        <v>6518887801</v>
      </c>
      <c r="AT20"/>
      <c r="AU20" t="s">
        <v>1005</v>
      </c>
      <c r="AV20" t="s">
        <v>1006</v>
      </c>
      <c r="AW20" t="s">
        <v>1004</v>
      </c>
      <c r="AX20" t="s">
        <v>746</v>
      </c>
      <c r="AY20" t="s">
        <v>54</v>
      </c>
      <c r="AZ20" s="576">
        <v>55076</v>
      </c>
      <c r="BA20"/>
      <c r="BB20"/>
      <c r="BC20"/>
      <c r="BD20"/>
      <c r="BE20"/>
      <c r="BF20"/>
      <c r="BG20"/>
      <c r="BH20"/>
      <c r="BI20"/>
      <c r="BJ20"/>
      <c r="BK20"/>
      <c r="BL20"/>
      <c r="BM20"/>
      <c r="BN20"/>
      <c r="BO20"/>
      <c r="BP20"/>
      <c r="BQ20"/>
      <c r="BR20"/>
      <c r="BS20"/>
      <c r="BT20"/>
      <c r="BU20"/>
      <c r="BV20"/>
      <c r="BW20"/>
      <c r="BX20"/>
      <c r="BY20"/>
      <c r="BZ20"/>
      <c r="CA20"/>
      <c r="CB20"/>
      <c r="CC20"/>
      <c r="CD20"/>
      <c r="CE20"/>
      <c r="CF20" t="s">
        <v>1017</v>
      </c>
      <c r="CG20" t="s">
        <v>733</v>
      </c>
      <c r="CH20" t="s">
        <v>141</v>
      </c>
      <c r="CI20"/>
      <c r="CJ20"/>
      <c r="CK20"/>
      <c r="CL20"/>
      <c r="CM20">
        <v>1578807491</v>
      </c>
      <c r="CN20">
        <v>1006</v>
      </c>
      <c r="CO20">
        <v>336</v>
      </c>
      <c r="CP20">
        <v>369</v>
      </c>
      <c r="CQ20"/>
      <c r="CR20"/>
      <c r="CS20" t="s">
        <v>788</v>
      </c>
      <c r="CT20">
        <v>12</v>
      </c>
      <c r="CU20"/>
      <c r="CV20"/>
      <c r="CW20"/>
      <c r="CX20"/>
      <c r="CY20"/>
      <c r="CZ20"/>
      <c r="DA20"/>
      <c r="DB20"/>
      <c r="DC20"/>
      <c r="DD20"/>
      <c r="DE20"/>
      <c r="DF20"/>
      <c r="DG20"/>
      <c r="DH20"/>
      <c r="DI20"/>
      <c r="DJ20"/>
      <c r="DK20"/>
      <c r="DL20"/>
      <c r="DM20"/>
      <c r="DN20">
        <v>133</v>
      </c>
      <c r="DO20" t="s">
        <v>1018</v>
      </c>
      <c r="DP20"/>
      <c r="DQ20"/>
      <c r="DR20"/>
      <c r="DS20"/>
      <c r="DT20"/>
      <c r="DU20"/>
      <c r="DV20"/>
      <c r="DW20"/>
      <c r="DX20"/>
      <c r="DY20"/>
      <c r="DZ20"/>
      <c r="EA20"/>
      <c r="EB20"/>
      <c r="EC20"/>
      <c r="ED20"/>
      <c r="EE20"/>
      <c r="EF20"/>
      <c r="EG20"/>
      <c r="EH20"/>
      <c r="EI20"/>
      <c r="EJ20"/>
      <c r="EK20"/>
      <c r="EL20"/>
      <c r="EM20"/>
      <c r="EN20"/>
      <c r="EO20"/>
      <c r="EP20"/>
      <c r="EQ20"/>
      <c r="ER20">
        <v>0</v>
      </c>
      <c r="ES20"/>
      <c r="ET20"/>
      <c r="EU20"/>
      <c r="EV20" s="439">
        <v>6</v>
      </c>
      <c r="EW20" t="s">
        <v>2737</v>
      </c>
      <c r="EX20" t="s">
        <v>1214</v>
      </c>
      <c r="EY20" t="s">
        <v>1215</v>
      </c>
      <c r="EZ20" t="s">
        <v>54</v>
      </c>
      <c r="FA20">
        <v>56208</v>
      </c>
      <c r="FB20">
        <v>1578590626</v>
      </c>
    </row>
    <row r="21" spans="1:158" x14ac:dyDescent="0.2">
      <c r="A21" s="439">
        <v>1468</v>
      </c>
      <c r="B21" t="s">
        <v>1019</v>
      </c>
      <c r="C21" t="s">
        <v>1020</v>
      </c>
      <c r="D21" t="s">
        <v>1021</v>
      </c>
      <c r="E21" t="s">
        <v>1022</v>
      </c>
      <c r="F21" t="s">
        <v>1023</v>
      </c>
      <c r="G21" t="s">
        <v>54</v>
      </c>
      <c r="H21" s="576">
        <v>55811</v>
      </c>
      <c r="I21" t="s">
        <v>749</v>
      </c>
      <c r="J21" t="s">
        <v>1021</v>
      </c>
      <c r="K21" t="s">
        <v>1022</v>
      </c>
      <c r="L21" t="s">
        <v>1020</v>
      </c>
      <c r="M21" t="s">
        <v>1023</v>
      </c>
      <c r="N21" t="s">
        <v>54</v>
      </c>
      <c r="O21" s="576">
        <v>55811</v>
      </c>
      <c r="P21" t="s">
        <v>749</v>
      </c>
      <c r="Q21">
        <v>2185140514</v>
      </c>
      <c r="R21">
        <v>8554534956</v>
      </c>
      <c r="S21" t="s">
        <v>1024</v>
      </c>
      <c r="T21" t="s">
        <v>1025</v>
      </c>
      <c r="U21" t="s">
        <v>740</v>
      </c>
      <c r="V21" t="s">
        <v>1026</v>
      </c>
      <c r="W21" t="s">
        <v>749</v>
      </c>
      <c r="X21" t="s">
        <v>1024</v>
      </c>
      <c r="Y21" t="s">
        <v>1025</v>
      </c>
      <c r="Z21" t="s">
        <v>740</v>
      </c>
      <c r="AA21" t="s">
        <v>1019</v>
      </c>
      <c r="AB21">
        <v>2185140514</v>
      </c>
      <c r="AC21"/>
      <c r="AD21">
        <v>8554534956</v>
      </c>
      <c r="AE21" t="s">
        <v>1026</v>
      </c>
      <c r="AF21" t="s">
        <v>1021</v>
      </c>
      <c r="AG21" t="s">
        <v>1022</v>
      </c>
      <c r="AH21" t="s">
        <v>1020</v>
      </c>
      <c r="AI21" t="s">
        <v>1023</v>
      </c>
      <c r="AJ21" t="s">
        <v>54</v>
      </c>
      <c r="AK21" s="576">
        <v>55811</v>
      </c>
      <c r="AL21" t="s">
        <v>749</v>
      </c>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t="s">
        <v>1027</v>
      </c>
      <c r="CG21" t="s">
        <v>733</v>
      </c>
      <c r="CH21" t="s">
        <v>141</v>
      </c>
      <c r="CI21"/>
      <c r="CJ21"/>
      <c r="CK21"/>
      <c r="CL21"/>
      <c r="CM21"/>
      <c r="CN21">
        <v>499</v>
      </c>
      <c r="CO21">
        <v>886</v>
      </c>
      <c r="CP21"/>
      <c r="CQ21"/>
      <c r="CR21"/>
      <c r="CS21" t="s">
        <v>788</v>
      </c>
      <c r="CT21">
        <v>12</v>
      </c>
      <c r="CU21"/>
      <c r="CV21"/>
      <c r="CW21"/>
      <c r="CX21" t="s">
        <v>749</v>
      </c>
      <c r="CY21"/>
      <c r="CZ21" t="s">
        <v>749</v>
      </c>
      <c r="DA21" t="s">
        <v>749</v>
      </c>
      <c r="DB21" t="s">
        <v>749</v>
      </c>
      <c r="DC21" t="s">
        <v>749</v>
      </c>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v>0</v>
      </c>
      <c r="ES21"/>
      <c r="ET21"/>
      <c r="EU21"/>
      <c r="EV21" s="439">
        <v>993</v>
      </c>
      <c r="EW21" t="s">
        <v>1213</v>
      </c>
      <c r="EX21" t="s">
        <v>1214</v>
      </c>
      <c r="EY21" t="s">
        <v>1215</v>
      </c>
      <c r="EZ21" t="s">
        <v>54</v>
      </c>
      <c r="FA21">
        <v>56208</v>
      </c>
      <c r="FB21"/>
    </row>
    <row r="22" spans="1:158" x14ac:dyDescent="0.2">
      <c r="A22" s="439">
        <v>680</v>
      </c>
      <c r="B22" t="s">
        <v>1028</v>
      </c>
      <c r="C22" t="s">
        <v>1029</v>
      </c>
      <c r="D22" t="s">
        <v>1030</v>
      </c>
      <c r="E22" t="s">
        <v>911</v>
      </c>
      <c r="F22" t="s">
        <v>912</v>
      </c>
      <c r="G22" t="s">
        <v>54</v>
      </c>
      <c r="H22" s="576">
        <v>55108</v>
      </c>
      <c r="I22"/>
      <c r="J22" t="s">
        <v>1030</v>
      </c>
      <c r="K22" t="s">
        <v>911</v>
      </c>
      <c r="L22" t="s">
        <v>1029</v>
      </c>
      <c r="M22" t="s">
        <v>912</v>
      </c>
      <c r="N22" t="s">
        <v>54</v>
      </c>
      <c r="O22" s="576">
        <v>55108</v>
      </c>
      <c r="P22"/>
      <c r="Q22">
        <v>6512419700</v>
      </c>
      <c r="R22">
        <v>6512419678</v>
      </c>
      <c r="S22" t="s">
        <v>1031</v>
      </c>
      <c r="T22" t="s">
        <v>1032</v>
      </c>
      <c r="U22" t="s">
        <v>792</v>
      </c>
      <c r="V22" t="s">
        <v>1033</v>
      </c>
      <c r="W22" t="s">
        <v>897</v>
      </c>
      <c r="X22" t="s">
        <v>916</v>
      </c>
      <c r="Y22" t="s">
        <v>917</v>
      </c>
      <c r="Z22" t="s">
        <v>751</v>
      </c>
      <c r="AA22" t="s">
        <v>899</v>
      </c>
      <c r="AB22"/>
      <c r="AC22"/>
      <c r="AD22"/>
      <c r="AE22" t="s">
        <v>918</v>
      </c>
      <c r="AF22" t="s">
        <v>919</v>
      </c>
      <c r="AG22"/>
      <c r="AH22" t="s">
        <v>901</v>
      </c>
      <c r="AI22" t="s">
        <v>744</v>
      </c>
      <c r="AJ22" t="s">
        <v>54</v>
      </c>
      <c r="AK22" s="576">
        <v>55407</v>
      </c>
      <c r="AL22"/>
      <c r="AM22" t="s">
        <v>920</v>
      </c>
      <c r="AN22" t="s">
        <v>921</v>
      </c>
      <c r="AO22" t="s">
        <v>922</v>
      </c>
      <c r="AP22" t="s">
        <v>899</v>
      </c>
      <c r="AQ22">
        <v>7636847903</v>
      </c>
      <c r="AR22"/>
      <c r="AS22"/>
      <c r="AT22" t="s">
        <v>923</v>
      </c>
      <c r="AU22" t="s">
        <v>919</v>
      </c>
      <c r="AV22"/>
      <c r="AW22" t="s">
        <v>901</v>
      </c>
      <c r="AX22" t="s">
        <v>744</v>
      </c>
      <c r="AY22" t="s">
        <v>54</v>
      </c>
      <c r="AZ22" s="576">
        <v>55407</v>
      </c>
      <c r="BA22"/>
      <c r="BB22" t="s">
        <v>924</v>
      </c>
      <c r="BC22" t="s">
        <v>925</v>
      </c>
      <c r="BD22" t="s">
        <v>926</v>
      </c>
      <c r="BE22" t="s">
        <v>899</v>
      </c>
      <c r="BF22">
        <v>6122623986</v>
      </c>
      <c r="BG22"/>
      <c r="BH22"/>
      <c r="BI22" t="s">
        <v>927</v>
      </c>
      <c r="BJ22" t="s">
        <v>919</v>
      </c>
      <c r="BK22"/>
      <c r="BL22" t="s">
        <v>901</v>
      </c>
      <c r="BM22" t="s">
        <v>744</v>
      </c>
      <c r="BN22" t="s">
        <v>54</v>
      </c>
      <c r="BO22" s="576">
        <v>55407</v>
      </c>
      <c r="BP22"/>
      <c r="BQ22"/>
      <c r="BR22"/>
      <c r="BS22"/>
      <c r="BT22"/>
      <c r="BU22"/>
      <c r="BV22"/>
      <c r="BW22"/>
      <c r="BX22"/>
      <c r="BY22"/>
      <c r="BZ22"/>
      <c r="CA22"/>
      <c r="CB22"/>
      <c r="CC22"/>
      <c r="CD22"/>
      <c r="CE22"/>
      <c r="CF22"/>
      <c r="CG22" t="s">
        <v>907</v>
      </c>
      <c r="CH22" t="s">
        <v>141</v>
      </c>
      <c r="CI22"/>
      <c r="CJ22"/>
      <c r="CK22"/>
      <c r="CL22"/>
      <c r="CM22">
        <v>1710158357</v>
      </c>
      <c r="CN22">
        <v>385</v>
      </c>
      <c r="CO22">
        <v>181</v>
      </c>
      <c r="CP22">
        <v>182</v>
      </c>
      <c r="CQ22">
        <v>467</v>
      </c>
      <c r="CR22"/>
      <c r="CS22" t="s">
        <v>788</v>
      </c>
      <c r="CT22">
        <v>12</v>
      </c>
      <c r="CU22"/>
      <c r="CV22"/>
      <c r="CW22"/>
      <c r="CX22"/>
      <c r="CY22"/>
      <c r="CZ22"/>
      <c r="DA22"/>
      <c r="DB22"/>
      <c r="DC22"/>
      <c r="DD22"/>
      <c r="DE22"/>
      <c r="DF22"/>
      <c r="DG22"/>
      <c r="DH22">
        <v>129</v>
      </c>
      <c r="DI22" t="s">
        <v>1034</v>
      </c>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v>2</v>
      </c>
      <c r="ES22"/>
      <c r="ET22"/>
      <c r="EU22"/>
      <c r="EV22" s="439">
        <v>1443</v>
      </c>
      <c r="EW22" t="s">
        <v>934</v>
      </c>
      <c r="EX22" t="s">
        <v>935</v>
      </c>
      <c r="EY22" t="s">
        <v>936</v>
      </c>
      <c r="EZ22" t="s">
        <v>54</v>
      </c>
      <c r="FA22">
        <v>55124</v>
      </c>
      <c r="FB22">
        <v>1760097976</v>
      </c>
    </row>
    <row r="23" spans="1:158" x14ac:dyDescent="0.2">
      <c r="A23" s="439">
        <v>722</v>
      </c>
      <c r="B23" t="s">
        <v>1035</v>
      </c>
      <c r="C23" t="s">
        <v>1036</v>
      </c>
      <c r="D23" t="s">
        <v>1037</v>
      </c>
      <c r="E23"/>
      <c r="F23" t="s">
        <v>912</v>
      </c>
      <c r="G23" t="s">
        <v>54</v>
      </c>
      <c r="H23" s="576">
        <v>55109</v>
      </c>
      <c r="I23" s="576">
        <v>1162</v>
      </c>
      <c r="J23" t="s">
        <v>1037</v>
      </c>
      <c r="K23"/>
      <c r="L23" t="s">
        <v>1036</v>
      </c>
      <c r="M23" t="s">
        <v>912</v>
      </c>
      <c r="N23" t="s">
        <v>54</v>
      </c>
      <c r="O23" s="576">
        <v>55109</v>
      </c>
      <c r="P23" s="576">
        <v>1162</v>
      </c>
      <c r="Q23">
        <v>6512419700</v>
      </c>
      <c r="R23">
        <v>6512419678</v>
      </c>
      <c r="S23" t="s">
        <v>1038</v>
      </c>
      <c r="T23" t="s">
        <v>1039</v>
      </c>
      <c r="U23" t="s">
        <v>792</v>
      </c>
      <c r="V23" t="s">
        <v>1040</v>
      </c>
      <c r="W23" t="s">
        <v>1041</v>
      </c>
      <c r="X23" t="s">
        <v>916</v>
      </c>
      <c r="Y23" t="s">
        <v>917</v>
      </c>
      <c r="Z23" t="s">
        <v>751</v>
      </c>
      <c r="AA23" t="s">
        <v>899</v>
      </c>
      <c r="AB23"/>
      <c r="AC23"/>
      <c r="AD23"/>
      <c r="AE23" t="s">
        <v>918</v>
      </c>
      <c r="AF23" t="s">
        <v>919</v>
      </c>
      <c r="AG23"/>
      <c r="AH23" t="s">
        <v>901</v>
      </c>
      <c r="AI23" t="s">
        <v>744</v>
      </c>
      <c r="AJ23" t="s">
        <v>54</v>
      </c>
      <c r="AK23" s="576">
        <v>55407</v>
      </c>
      <c r="AL23"/>
      <c r="AM23" t="s">
        <v>920</v>
      </c>
      <c r="AN23" t="s">
        <v>921</v>
      </c>
      <c r="AO23" t="s">
        <v>922</v>
      </c>
      <c r="AP23" t="s">
        <v>899</v>
      </c>
      <c r="AQ23">
        <v>7636847903</v>
      </c>
      <c r="AR23"/>
      <c r="AS23"/>
      <c r="AT23" t="s">
        <v>923</v>
      </c>
      <c r="AU23" t="s">
        <v>919</v>
      </c>
      <c r="AV23"/>
      <c r="AW23" t="s">
        <v>901</v>
      </c>
      <c r="AX23" t="s">
        <v>744</v>
      </c>
      <c r="AY23" t="s">
        <v>54</v>
      </c>
      <c r="AZ23" s="576">
        <v>55407</v>
      </c>
      <c r="BA23"/>
      <c r="BB23" t="s">
        <v>924</v>
      </c>
      <c r="BC23" t="s">
        <v>925</v>
      </c>
      <c r="BD23" t="s">
        <v>926</v>
      </c>
      <c r="BE23" t="s">
        <v>899</v>
      </c>
      <c r="BF23">
        <v>6122623986</v>
      </c>
      <c r="BG23"/>
      <c r="BH23"/>
      <c r="BI23" t="s">
        <v>927</v>
      </c>
      <c r="BJ23" t="s">
        <v>919</v>
      </c>
      <c r="BK23"/>
      <c r="BL23" t="s">
        <v>901</v>
      </c>
      <c r="BM23" t="s">
        <v>744</v>
      </c>
      <c r="BN23" t="s">
        <v>54</v>
      </c>
      <c r="BO23" s="576">
        <v>55407</v>
      </c>
      <c r="BP23"/>
      <c r="BQ23"/>
      <c r="BR23"/>
      <c r="BS23"/>
      <c r="BT23"/>
      <c r="BU23"/>
      <c r="BV23"/>
      <c r="BW23"/>
      <c r="BX23"/>
      <c r="BY23"/>
      <c r="BZ23"/>
      <c r="CA23"/>
      <c r="CB23"/>
      <c r="CC23"/>
      <c r="CD23"/>
      <c r="CE23"/>
      <c r="CF23" t="s">
        <v>1041</v>
      </c>
      <c r="CG23" t="s">
        <v>907</v>
      </c>
      <c r="CH23" t="s">
        <v>141</v>
      </c>
      <c r="CI23"/>
      <c r="CJ23"/>
      <c r="CK23"/>
      <c r="CL23"/>
      <c r="CM23">
        <v>1710158357</v>
      </c>
      <c r="CN23">
        <v>382</v>
      </c>
      <c r="CO23">
        <v>181</v>
      </c>
      <c r="CP23">
        <v>182</v>
      </c>
      <c r="CQ23">
        <v>467</v>
      </c>
      <c r="CR23"/>
      <c r="CS23" t="s">
        <v>788</v>
      </c>
      <c r="CT23">
        <v>12</v>
      </c>
      <c r="CU23"/>
      <c r="CV23"/>
      <c r="CW23"/>
      <c r="CX23"/>
      <c r="CY23"/>
      <c r="CZ23"/>
      <c r="DA23"/>
      <c r="DB23"/>
      <c r="DC23"/>
      <c r="DD23">
        <v>128</v>
      </c>
      <c r="DE23" t="s">
        <v>948</v>
      </c>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v>2</v>
      </c>
      <c r="ES23"/>
      <c r="ET23"/>
      <c r="EU23"/>
      <c r="EV23" s="439">
        <v>669</v>
      </c>
      <c r="EW23" t="s">
        <v>2738</v>
      </c>
      <c r="EX23" t="s">
        <v>935</v>
      </c>
      <c r="EY23" t="s">
        <v>2739</v>
      </c>
      <c r="EZ23" t="s">
        <v>54</v>
      </c>
      <c r="FA23">
        <v>55124</v>
      </c>
      <c r="FB23"/>
    </row>
    <row r="24" spans="1:158" s="433" customFormat="1" x14ac:dyDescent="0.2">
      <c r="A24" s="439">
        <v>1861</v>
      </c>
      <c r="B24" t="s">
        <v>1042</v>
      </c>
      <c r="C24" t="s">
        <v>1043</v>
      </c>
      <c r="D24" t="s">
        <v>1044</v>
      </c>
      <c r="E24" t="s">
        <v>749</v>
      </c>
      <c r="F24" t="s">
        <v>1045</v>
      </c>
      <c r="G24" t="s">
        <v>54</v>
      </c>
      <c r="H24" s="576">
        <v>56187</v>
      </c>
      <c r="I24" t="s">
        <v>749</v>
      </c>
      <c r="J24" t="s">
        <v>1044</v>
      </c>
      <c r="K24" t="s">
        <v>749</v>
      </c>
      <c r="L24" t="s">
        <v>1043</v>
      </c>
      <c r="M24" t="s">
        <v>1045</v>
      </c>
      <c r="N24" t="s">
        <v>54</v>
      </c>
      <c r="O24" s="576">
        <v>56187</v>
      </c>
      <c r="P24" t="s">
        <v>749</v>
      </c>
      <c r="Q24">
        <v>5073722921</v>
      </c>
      <c r="R24">
        <v>5073726523</v>
      </c>
      <c r="S24" t="s">
        <v>1046</v>
      </c>
      <c r="T24" t="s">
        <v>1047</v>
      </c>
      <c r="U24" t="s">
        <v>792</v>
      </c>
      <c r="V24" t="s">
        <v>1048</v>
      </c>
      <c r="W24" t="s">
        <v>749</v>
      </c>
      <c r="X24" t="s">
        <v>1046</v>
      </c>
      <c r="Y24" t="s">
        <v>1047</v>
      </c>
      <c r="Z24" t="s">
        <v>792</v>
      </c>
      <c r="AA24" t="s">
        <v>1042</v>
      </c>
      <c r="AB24">
        <v>5073726522</v>
      </c>
      <c r="AC24"/>
      <c r="AD24">
        <v>5073726523</v>
      </c>
      <c r="AE24" t="s">
        <v>1048</v>
      </c>
      <c r="AF24" t="s">
        <v>1044</v>
      </c>
      <c r="AG24"/>
      <c r="AH24" t="s">
        <v>1043</v>
      </c>
      <c r="AI24" t="s">
        <v>1045</v>
      </c>
      <c r="AJ24" t="s">
        <v>54</v>
      </c>
      <c r="AK24" s="576">
        <v>56187</v>
      </c>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t="s">
        <v>1049</v>
      </c>
      <c r="CG24" t="s">
        <v>1050</v>
      </c>
      <c r="CH24" t="s">
        <v>141</v>
      </c>
      <c r="CI24"/>
      <c r="CJ24"/>
      <c r="CK24"/>
      <c r="CL24"/>
      <c r="CM24">
        <v>1306939806</v>
      </c>
      <c r="CN24">
        <v>126</v>
      </c>
      <c r="CO24">
        <v>641</v>
      </c>
      <c r="CP24"/>
      <c r="CQ24"/>
      <c r="CR24"/>
      <c r="CS24" t="s">
        <v>862</v>
      </c>
      <c r="CT24">
        <v>12</v>
      </c>
      <c r="CU24"/>
      <c r="CV24"/>
      <c r="CW24"/>
      <c r="CX24" t="s">
        <v>749</v>
      </c>
      <c r="CY24"/>
      <c r="CZ24" t="s">
        <v>749</v>
      </c>
      <c r="DA24" t="s">
        <v>749</v>
      </c>
      <c r="DB24" t="s">
        <v>749</v>
      </c>
      <c r="DC24" t="s">
        <v>749</v>
      </c>
      <c r="DD24"/>
      <c r="DE24"/>
      <c r="DF24"/>
      <c r="DG24"/>
      <c r="DH24"/>
      <c r="DI24"/>
      <c r="DJ24"/>
      <c r="DK24"/>
      <c r="DL24"/>
      <c r="DM24"/>
      <c r="DN24"/>
      <c r="DO24"/>
      <c r="DP24">
        <v>134</v>
      </c>
      <c r="DQ24" t="s">
        <v>1051</v>
      </c>
      <c r="DR24"/>
      <c r="DS24"/>
      <c r="DT24"/>
      <c r="DU24"/>
      <c r="DV24"/>
      <c r="DW24"/>
      <c r="DX24"/>
      <c r="DY24"/>
      <c r="DZ24"/>
      <c r="EA24"/>
      <c r="EB24"/>
      <c r="EC24"/>
      <c r="ED24"/>
      <c r="EE24"/>
      <c r="EF24"/>
      <c r="EG24"/>
      <c r="EH24"/>
      <c r="EI24"/>
      <c r="EJ24"/>
      <c r="EK24"/>
      <c r="EL24"/>
      <c r="EM24"/>
      <c r="EN24"/>
      <c r="EO24"/>
      <c r="EP24"/>
      <c r="EQ24"/>
      <c r="ER24">
        <v>3</v>
      </c>
      <c r="ES24"/>
      <c r="ET24"/>
      <c r="EU24"/>
      <c r="EV24" s="439">
        <v>1838</v>
      </c>
      <c r="EW24" t="s">
        <v>1783</v>
      </c>
      <c r="EX24" t="s">
        <v>935</v>
      </c>
      <c r="EY24" t="s">
        <v>1784</v>
      </c>
      <c r="EZ24" t="s">
        <v>54</v>
      </c>
      <c r="FA24">
        <v>55124</v>
      </c>
      <c r="FB24">
        <v>1285711663</v>
      </c>
    </row>
    <row r="25" spans="1:158" x14ac:dyDescent="0.2">
      <c r="A25" s="439">
        <v>1676</v>
      </c>
      <c r="B25" t="s">
        <v>1052</v>
      </c>
      <c r="C25" t="s">
        <v>1053</v>
      </c>
      <c r="D25" t="s">
        <v>1054</v>
      </c>
      <c r="E25" t="s">
        <v>749</v>
      </c>
      <c r="F25"/>
      <c r="G25" t="s">
        <v>1055</v>
      </c>
      <c r="H25" s="576">
        <v>44720</v>
      </c>
      <c r="I25" t="s">
        <v>749</v>
      </c>
      <c r="J25" t="s">
        <v>1054</v>
      </c>
      <c r="K25" t="s">
        <v>749</v>
      </c>
      <c r="L25" t="s">
        <v>1053</v>
      </c>
      <c r="M25"/>
      <c r="N25" t="s">
        <v>1055</v>
      </c>
      <c r="O25" s="576">
        <v>44720</v>
      </c>
      <c r="P25" t="s">
        <v>749</v>
      </c>
      <c r="Q25">
        <v>3309660500</v>
      </c>
      <c r="R25"/>
      <c r="S25" t="s">
        <v>1056</v>
      </c>
      <c r="T25" t="s">
        <v>1057</v>
      </c>
      <c r="U25" t="s">
        <v>749</v>
      </c>
      <c r="V25" t="s">
        <v>749</v>
      </c>
      <c r="W25" t="s">
        <v>749</v>
      </c>
      <c r="X25" t="s">
        <v>1058</v>
      </c>
      <c r="Y25" t="s">
        <v>1059</v>
      </c>
      <c r="Z25" t="s">
        <v>749</v>
      </c>
      <c r="AA25" t="s">
        <v>1052</v>
      </c>
      <c r="AB25">
        <v>3309660500</v>
      </c>
      <c r="AC25"/>
      <c r="AD25"/>
      <c r="AE25" t="s">
        <v>1060</v>
      </c>
      <c r="AF25" t="s">
        <v>1054</v>
      </c>
      <c r="AG25" t="s">
        <v>749</v>
      </c>
      <c r="AH25" t="s">
        <v>1053</v>
      </c>
      <c r="AI25"/>
      <c r="AJ25" t="s">
        <v>1055</v>
      </c>
      <c r="AK25" s="576">
        <v>44720</v>
      </c>
      <c r="AL25" t="s">
        <v>749</v>
      </c>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t="s">
        <v>1061</v>
      </c>
      <c r="CG25" t="s">
        <v>733</v>
      </c>
      <c r="CH25" t="s">
        <v>141</v>
      </c>
      <c r="CI25"/>
      <c r="CJ25"/>
      <c r="CK25"/>
      <c r="CL25"/>
      <c r="CM25"/>
      <c r="CN25">
        <v>670</v>
      </c>
      <c r="CO25">
        <v>668</v>
      </c>
      <c r="CP25"/>
      <c r="CQ25"/>
      <c r="CR25"/>
      <c r="CS25"/>
      <c r="CT25"/>
      <c r="CU25"/>
      <c r="CV25"/>
      <c r="CW25"/>
      <c r="CX25" t="s">
        <v>749</v>
      </c>
      <c r="CY25"/>
      <c r="CZ25" t="s">
        <v>749</v>
      </c>
      <c r="DA25" t="s">
        <v>749</v>
      </c>
      <c r="DB25" t="s">
        <v>749</v>
      </c>
      <c r="DC25" t="s">
        <v>749</v>
      </c>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v>0</v>
      </c>
      <c r="ES25"/>
      <c r="ET25"/>
      <c r="EU25"/>
      <c r="EV25" s="439">
        <v>785</v>
      </c>
      <c r="EW25" t="s">
        <v>2740</v>
      </c>
      <c r="EX25" t="s">
        <v>935</v>
      </c>
      <c r="EY25" t="s">
        <v>936</v>
      </c>
      <c r="EZ25" t="s">
        <v>54</v>
      </c>
      <c r="FA25">
        <v>55124</v>
      </c>
      <c r="FB25"/>
    </row>
    <row r="26" spans="1:158" x14ac:dyDescent="0.2">
      <c r="A26" s="439">
        <v>1399</v>
      </c>
      <c r="B26" t="s">
        <v>1062</v>
      </c>
      <c r="C26" t="s">
        <v>1063</v>
      </c>
      <c r="D26" t="s">
        <v>1064</v>
      </c>
      <c r="E26"/>
      <c r="F26"/>
      <c r="G26" t="s">
        <v>1065</v>
      </c>
      <c r="H26" s="576">
        <v>89403</v>
      </c>
      <c r="I26"/>
      <c r="J26"/>
      <c r="K26"/>
      <c r="L26"/>
      <c r="M26"/>
      <c r="N26"/>
      <c r="O26"/>
      <c r="P26"/>
      <c r="Q26">
        <v>9166529501</v>
      </c>
      <c r="R26">
        <v>9166529412</v>
      </c>
      <c r="S26" t="s">
        <v>1066</v>
      </c>
      <c r="T26" t="s">
        <v>1067</v>
      </c>
      <c r="U26" t="s">
        <v>1068</v>
      </c>
      <c r="V26" t="s">
        <v>1069</v>
      </c>
      <c r="W26" t="s">
        <v>1070</v>
      </c>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t="s">
        <v>1071</v>
      </c>
      <c r="CG26" t="s">
        <v>1072</v>
      </c>
      <c r="CH26" t="s">
        <v>141</v>
      </c>
      <c r="CI26"/>
      <c r="CJ26"/>
      <c r="CK26"/>
      <c r="CL26"/>
      <c r="CM26"/>
      <c r="CN26"/>
      <c r="CO26"/>
      <c r="CP26"/>
      <c r="CQ26"/>
      <c r="CR26"/>
      <c r="CS26" t="s">
        <v>862</v>
      </c>
      <c r="CT26">
        <v>12</v>
      </c>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v>169</v>
      </c>
      <c r="ES26"/>
      <c r="ET26"/>
      <c r="EU26"/>
      <c r="EV26" s="439">
        <v>934</v>
      </c>
      <c r="EW26" t="s">
        <v>2741</v>
      </c>
      <c r="EX26" t="s">
        <v>2742</v>
      </c>
      <c r="EY26" t="s">
        <v>2743</v>
      </c>
      <c r="EZ26" t="s">
        <v>54</v>
      </c>
      <c r="FA26">
        <v>55112</v>
      </c>
      <c r="FB26"/>
    </row>
    <row r="27" spans="1:158" s="435" customFormat="1" x14ac:dyDescent="0.2">
      <c r="A27" s="439">
        <v>1143</v>
      </c>
      <c r="B27" t="s">
        <v>1073</v>
      </c>
      <c r="C27" t="s">
        <v>1063</v>
      </c>
      <c r="D27" t="s">
        <v>1064</v>
      </c>
      <c r="E27"/>
      <c r="F27"/>
      <c r="G27" t="s">
        <v>1065</v>
      </c>
      <c r="H27" s="576">
        <v>89403</v>
      </c>
      <c r="I27"/>
      <c r="J27" t="s">
        <v>1074</v>
      </c>
      <c r="K27"/>
      <c r="L27" t="s">
        <v>1063</v>
      </c>
      <c r="M27"/>
      <c r="N27" t="s">
        <v>1065</v>
      </c>
      <c r="O27" s="576">
        <v>89403</v>
      </c>
      <c r="P27"/>
      <c r="Q27">
        <v>9166529501</v>
      </c>
      <c r="R27">
        <v>9166529412</v>
      </c>
      <c r="S27" t="s">
        <v>1066</v>
      </c>
      <c r="T27" t="s">
        <v>1067</v>
      </c>
      <c r="U27" t="s">
        <v>1068</v>
      </c>
      <c r="V27" t="s">
        <v>1069</v>
      </c>
      <c r="W27" t="s">
        <v>1070</v>
      </c>
      <c r="X27" t="s">
        <v>1066</v>
      </c>
      <c r="Y27" t="s">
        <v>1067</v>
      </c>
      <c r="Z27" t="s">
        <v>1068</v>
      </c>
      <c r="AA27" t="s">
        <v>1072</v>
      </c>
      <c r="AB27">
        <v>9166529501</v>
      </c>
      <c r="AC27"/>
      <c r="AD27">
        <v>9166529412</v>
      </c>
      <c r="AE27" t="s">
        <v>1069</v>
      </c>
      <c r="AF27" t="s">
        <v>1074</v>
      </c>
      <c r="AG27"/>
      <c r="AH27" t="s">
        <v>1063</v>
      </c>
      <c r="AI27"/>
      <c r="AJ27" t="s">
        <v>1065</v>
      </c>
      <c r="AK27" s="576">
        <v>89403</v>
      </c>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t="s">
        <v>1071</v>
      </c>
      <c r="CG27" t="s">
        <v>1072</v>
      </c>
      <c r="CH27" t="s">
        <v>141</v>
      </c>
      <c r="CI27"/>
      <c r="CJ27"/>
      <c r="CK27"/>
      <c r="CL27"/>
      <c r="CM27"/>
      <c r="CN27">
        <v>2134</v>
      </c>
      <c r="CO27">
        <v>2133</v>
      </c>
      <c r="CP27"/>
      <c r="CQ27"/>
      <c r="CR27"/>
      <c r="CS27" t="s">
        <v>862</v>
      </c>
      <c r="CT27">
        <v>12</v>
      </c>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v>169</v>
      </c>
      <c r="ES27"/>
      <c r="ET27"/>
      <c r="EU27"/>
      <c r="EV27" s="439">
        <v>827</v>
      </c>
      <c r="EW27" t="s">
        <v>1346</v>
      </c>
      <c r="EX27" t="s">
        <v>1347</v>
      </c>
      <c r="EY27" t="s">
        <v>1348</v>
      </c>
      <c r="EZ27" t="s">
        <v>54</v>
      </c>
      <c r="FA27">
        <v>55307</v>
      </c>
      <c r="FB27"/>
    </row>
    <row r="28" spans="1:158" s="435" customFormat="1" x14ac:dyDescent="0.2">
      <c r="A28" s="439">
        <v>1403</v>
      </c>
      <c r="B28" t="s">
        <v>1075</v>
      </c>
      <c r="C28" t="s">
        <v>1063</v>
      </c>
      <c r="D28" t="s">
        <v>1064</v>
      </c>
      <c r="E28"/>
      <c r="F28"/>
      <c r="G28" t="s">
        <v>1065</v>
      </c>
      <c r="H28" s="576">
        <v>89403</v>
      </c>
      <c r="I28"/>
      <c r="J28"/>
      <c r="K28"/>
      <c r="L28"/>
      <c r="M28"/>
      <c r="N28"/>
      <c r="O28"/>
      <c r="P28"/>
      <c r="Q28">
        <v>9166529501</v>
      </c>
      <c r="R28">
        <v>9166529412</v>
      </c>
      <c r="S28" t="s">
        <v>1066</v>
      </c>
      <c r="T28" t="s">
        <v>1067</v>
      </c>
      <c r="U28" t="s">
        <v>1068</v>
      </c>
      <c r="V28" t="s">
        <v>1069</v>
      </c>
      <c r="W28" t="s">
        <v>1070</v>
      </c>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t="s">
        <v>1071</v>
      </c>
      <c r="CG28" t="s">
        <v>1072</v>
      </c>
      <c r="CH28" t="s">
        <v>141</v>
      </c>
      <c r="CI28"/>
      <c r="CJ28"/>
      <c r="CK28"/>
      <c r="CL28"/>
      <c r="CM28"/>
      <c r="CN28"/>
      <c r="CO28"/>
      <c r="CP28"/>
      <c r="CQ28"/>
      <c r="CR28"/>
      <c r="CS28" t="s">
        <v>862</v>
      </c>
      <c r="CT28">
        <v>12</v>
      </c>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v>169</v>
      </c>
      <c r="ES28"/>
      <c r="ET28"/>
      <c r="EU28"/>
      <c r="EV28" s="439">
        <v>7</v>
      </c>
      <c r="EW28" t="s">
        <v>2744</v>
      </c>
      <c r="EX28" t="s">
        <v>1347</v>
      </c>
      <c r="EY28" t="s">
        <v>1348</v>
      </c>
      <c r="EZ28" t="s">
        <v>54</v>
      </c>
      <c r="FA28">
        <v>55307</v>
      </c>
      <c r="FB28">
        <v>1740240225</v>
      </c>
    </row>
    <row r="29" spans="1:158" s="435" customFormat="1" x14ac:dyDescent="0.2">
      <c r="A29" s="439">
        <v>1404</v>
      </c>
      <c r="B29" t="s">
        <v>1076</v>
      </c>
      <c r="C29" t="s">
        <v>1063</v>
      </c>
      <c r="D29" t="s">
        <v>1064</v>
      </c>
      <c r="E29"/>
      <c r="F29"/>
      <c r="G29" t="s">
        <v>1065</v>
      </c>
      <c r="H29" s="576">
        <v>89403</v>
      </c>
      <c r="I29"/>
      <c r="J29"/>
      <c r="K29"/>
      <c r="L29"/>
      <c r="M29"/>
      <c r="N29"/>
      <c r="O29"/>
      <c r="P29"/>
      <c r="Q29">
        <v>9166529501</v>
      </c>
      <c r="R29">
        <v>9166529412</v>
      </c>
      <c r="S29" t="s">
        <v>1066</v>
      </c>
      <c r="T29" t="s">
        <v>1067</v>
      </c>
      <c r="U29" t="s">
        <v>1068</v>
      </c>
      <c r="V29" t="s">
        <v>1069</v>
      </c>
      <c r="W29" t="s">
        <v>1070</v>
      </c>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t="s">
        <v>1071</v>
      </c>
      <c r="CG29" t="s">
        <v>1072</v>
      </c>
      <c r="CH29" t="s">
        <v>141</v>
      </c>
      <c r="CI29"/>
      <c r="CJ29"/>
      <c r="CK29"/>
      <c r="CL29"/>
      <c r="CM29"/>
      <c r="CN29"/>
      <c r="CO29"/>
      <c r="CP29"/>
      <c r="CQ29"/>
      <c r="CR29"/>
      <c r="CS29" t="s">
        <v>862</v>
      </c>
      <c r="CT29">
        <v>12</v>
      </c>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v>169</v>
      </c>
      <c r="ES29"/>
      <c r="ET29"/>
      <c r="EU29"/>
      <c r="EV29" s="439">
        <v>828</v>
      </c>
      <c r="EW29" t="s">
        <v>1274</v>
      </c>
      <c r="EX29" t="s">
        <v>1275</v>
      </c>
      <c r="EY29" t="s">
        <v>1276</v>
      </c>
      <c r="EZ29" t="s">
        <v>54</v>
      </c>
      <c r="FA29">
        <v>55705</v>
      </c>
      <c r="FB29"/>
    </row>
    <row r="30" spans="1:158" s="435" customFormat="1" x14ac:dyDescent="0.2">
      <c r="A30" s="439">
        <v>1121</v>
      </c>
      <c r="B30" t="s">
        <v>1077</v>
      </c>
      <c r="C30" t="s">
        <v>1078</v>
      </c>
      <c r="D30" t="s">
        <v>1079</v>
      </c>
      <c r="E30"/>
      <c r="F30"/>
      <c r="G30" t="s">
        <v>54</v>
      </c>
      <c r="H30" s="576">
        <v>55744</v>
      </c>
      <c r="I30"/>
      <c r="J30" t="s">
        <v>869</v>
      </c>
      <c r="K30" t="s">
        <v>870</v>
      </c>
      <c r="L30" t="s">
        <v>871</v>
      </c>
      <c r="M30" t="s">
        <v>744</v>
      </c>
      <c r="N30" t="s">
        <v>54</v>
      </c>
      <c r="O30" s="576">
        <v>55416</v>
      </c>
      <c r="P30"/>
      <c r="Q30">
        <v>9525411840</v>
      </c>
      <c r="R30">
        <v>9525136880</v>
      </c>
      <c r="S30" t="s">
        <v>872</v>
      </c>
      <c r="T30" t="s">
        <v>873</v>
      </c>
      <c r="U30" t="s">
        <v>874</v>
      </c>
      <c r="V30" t="s">
        <v>875</v>
      </c>
      <c r="W30" t="s">
        <v>876</v>
      </c>
      <c r="X30" t="s">
        <v>877</v>
      </c>
      <c r="Y30" t="s">
        <v>878</v>
      </c>
      <c r="Z30" t="s">
        <v>879</v>
      </c>
      <c r="AA30" t="s">
        <v>880</v>
      </c>
      <c r="AB30">
        <v>9525136831</v>
      </c>
      <c r="AC30"/>
      <c r="AD30">
        <v>9525136880</v>
      </c>
      <c r="AE30" t="s">
        <v>881</v>
      </c>
      <c r="AF30" t="s">
        <v>869</v>
      </c>
      <c r="AG30" t="s">
        <v>882</v>
      </c>
      <c r="AH30" t="s">
        <v>871</v>
      </c>
      <c r="AI30" t="s">
        <v>744</v>
      </c>
      <c r="AJ30" t="s">
        <v>54</v>
      </c>
      <c r="AK30" s="576">
        <v>55416</v>
      </c>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t="s">
        <v>1080</v>
      </c>
      <c r="CG30" t="s">
        <v>884</v>
      </c>
      <c r="CH30" t="s">
        <v>56</v>
      </c>
      <c r="CI30" t="s">
        <v>1081</v>
      </c>
      <c r="CJ30" t="s">
        <v>141</v>
      </c>
      <c r="CK30" t="s">
        <v>1082</v>
      </c>
      <c r="CL30" t="s">
        <v>142</v>
      </c>
      <c r="CM30"/>
      <c r="CN30">
        <v>395</v>
      </c>
      <c r="CO30">
        <v>142</v>
      </c>
      <c r="CP30"/>
      <c r="CQ30"/>
      <c r="CR30"/>
      <c r="CS30" t="s">
        <v>788</v>
      </c>
      <c r="CT30">
        <v>12</v>
      </c>
      <c r="CU30"/>
      <c r="CV30"/>
      <c r="CW30"/>
      <c r="CX30"/>
      <c r="CY30"/>
      <c r="CZ30"/>
      <c r="DA30"/>
      <c r="DB30"/>
      <c r="DC30"/>
      <c r="DD30">
        <v>128</v>
      </c>
      <c r="DE30" t="s">
        <v>1083</v>
      </c>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v>48</v>
      </c>
      <c r="ES30">
        <v>134</v>
      </c>
      <c r="ET30">
        <v>135</v>
      </c>
      <c r="EU30"/>
      <c r="EV30" s="439">
        <v>175</v>
      </c>
      <c r="EW30" t="s">
        <v>2745</v>
      </c>
      <c r="EX30" t="s">
        <v>1275</v>
      </c>
      <c r="EY30" t="s">
        <v>1276</v>
      </c>
      <c r="EZ30" t="s">
        <v>54</v>
      </c>
      <c r="FA30">
        <v>55705</v>
      </c>
      <c r="FB30">
        <v>1639278609</v>
      </c>
    </row>
    <row r="31" spans="1:158" s="435" customFormat="1" x14ac:dyDescent="0.2">
      <c r="A31" s="439">
        <v>544</v>
      </c>
      <c r="B31" t="s">
        <v>1084</v>
      </c>
      <c r="C31" t="s">
        <v>901</v>
      </c>
      <c r="D31" t="s">
        <v>1085</v>
      </c>
      <c r="E31"/>
      <c r="F31" t="s">
        <v>744</v>
      </c>
      <c r="G31" t="s">
        <v>54</v>
      </c>
      <c r="H31" s="576">
        <v>55455</v>
      </c>
      <c r="I31"/>
      <c r="J31" t="s">
        <v>1085</v>
      </c>
      <c r="K31"/>
      <c r="L31" t="s">
        <v>901</v>
      </c>
      <c r="M31" t="s">
        <v>744</v>
      </c>
      <c r="N31" t="s">
        <v>54</v>
      </c>
      <c r="O31" s="576">
        <v>55455</v>
      </c>
      <c r="P31"/>
      <c r="Q31">
        <v>6126266900</v>
      </c>
      <c r="R31">
        <v>6126251733</v>
      </c>
      <c r="S31" t="s">
        <v>1086</v>
      </c>
      <c r="T31" t="s">
        <v>1087</v>
      </c>
      <c r="U31" t="s">
        <v>904</v>
      </c>
      <c r="V31" t="s">
        <v>1088</v>
      </c>
      <c r="W31"/>
      <c r="X31" t="s">
        <v>1089</v>
      </c>
      <c r="Y31" t="s">
        <v>1090</v>
      </c>
      <c r="Z31" t="s">
        <v>792</v>
      </c>
      <c r="AA31" t="s">
        <v>1084</v>
      </c>
      <c r="AB31">
        <v>6126250634</v>
      </c>
      <c r="AC31"/>
      <c r="AD31">
        <v>6126251733</v>
      </c>
      <c r="AE31" t="s">
        <v>1091</v>
      </c>
      <c r="AF31" t="s">
        <v>1085</v>
      </c>
      <c r="AG31"/>
      <c r="AH31" t="s">
        <v>901</v>
      </c>
      <c r="AI31" t="s">
        <v>744</v>
      </c>
      <c r="AJ31" t="s">
        <v>54</v>
      </c>
      <c r="AK31" s="576">
        <v>55455</v>
      </c>
      <c r="AL31"/>
      <c r="AM31" t="s">
        <v>1086</v>
      </c>
      <c r="AN31" t="s">
        <v>1087</v>
      </c>
      <c r="AO31" t="s">
        <v>1092</v>
      </c>
      <c r="AP31" t="s">
        <v>1084</v>
      </c>
      <c r="AQ31">
        <v>6126765189</v>
      </c>
      <c r="AR31"/>
      <c r="AS31">
        <v>6126251733</v>
      </c>
      <c r="AT31" t="s">
        <v>1088</v>
      </c>
      <c r="AU31" t="s">
        <v>1085</v>
      </c>
      <c r="AV31"/>
      <c r="AW31" t="s">
        <v>901</v>
      </c>
      <c r="AX31" t="s">
        <v>744</v>
      </c>
      <c r="AY31" t="s">
        <v>54</v>
      </c>
      <c r="AZ31" s="576">
        <v>55455</v>
      </c>
      <c r="BA31"/>
      <c r="BB31"/>
      <c r="BC31"/>
      <c r="BD31"/>
      <c r="BE31"/>
      <c r="BF31"/>
      <c r="BG31"/>
      <c r="BH31"/>
      <c r="BI31"/>
      <c r="BJ31"/>
      <c r="BK31"/>
      <c r="BL31"/>
      <c r="BM31"/>
      <c r="BN31"/>
      <c r="BO31"/>
      <c r="BP31"/>
      <c r="BQ31" t="s">
        <v>1086</v>
      </c>
      <c r="BR31" t="s">
        <v>1087</v>
      </c>
      <c r="BS31" t="s">
        <v>1092</v>
      </c>
      <c r="BT31" t="s">
        <v>1084</v>
      </c>
      <c r="BU31">
        <v>6126765189</v>
      </c>
      <c r="BV31"/>
      <c r="BW31">
        <v>6126251733</v>
      </c>
      <c r="BX31" t="s">
        <v>1088</v>
      </c>
      <c r="BY31" t="s">
        <v>1085</v>
      </c>
      <c r="BZ31"/>
      <c r="CA31" t="s">
        <v>901</v>
      </c>
      <c r="CB31" t="s">
        <v>744</v>
      </c>
      <c r="CC31" t="s">
        <v>54</v>
      </c>
      <c r="CD31" s="576">
        <v>55455</v>
      </c>
      <c r="CE31"/>
      <c r="CF31" t="s">
        <v>1093</v>
      </c>
      <c r="CG31" t="s">
        <v>1094</v>
      </c>
      <c r="CH31" t="s">
        <v>143</v>
      </c>
      <c r="CI31" t="s">
        <v>1095</v>
      </c>
      <c r="CJ31" t="s">
        <v>56</v>
      </c>
      <c r="CK31"/>
      <c r="CL31"/>
      <c r="CM31">
        <v>1477598118</v>
      </c>
      <c r="CN31">
        <v>703</v>
      </c>
      <c r="CO31">
        <v>73</v>
      </c>
      <c r="CP31">
        <v>1942</v>
      </c>
      <c r="CQ31"/>
      <c r="CR31">
        <v>1942</v>
      </c>
      <c r="CS31" t="s">
        <v>862</v>
      </c>
      <c r="CT31">
        <v>12</v>
      </c>
      <c r="CU31"/>
      <c r="CV31"/>
      <c r="CW31"/>
      <c r="CX31"/>
      <c r="CY31"/>
      <c r="CZ31"/>
      <c r="DA31"/>
      <c r="DB31"/>
      <c r="DC31"/>
      <c r="DD31">
        <v>128</v>
      </c>
      <c r="DE31" t="s">
        <v>1096</v>
      </c>
      <c r="DF31">
        <v>131</v>
      </c>
      <c r="DG31" t="s">
        <v>1097</v>
      </c>
      <c r="DH31">
        <v>129</v>
      </c>
      <c r="DI31" t="s">
        <v>1098</v>
      </c>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v>79</v>
      </c>
      <c r="ES31">
        <v>11</v>
      </c>
      <c r="ET31"/>
      <c r="EU31"/>
      <c r="EV31" s="439">
        <v>150</v>
      </c>
      <c r="EW31" t="s">
        <v>2746</v>
      </c>
      <c r="EX31" t="s">
        <v>2747</v>
      </c>
      <c r="EY31" t="s">
        <v>2748</v>
      </c>
      <c r="EZ31" t="s">
        <v>54</v>
      </c>
      <c r="FA31">
        <v>55912</v>
      </c>
      <c r="FB31">
        <v>1659390706</v>
      </c>
    </row>
    <row r="32" spans="1:158" s="435" customFormat="1" x14ac:dyDescent="0.2">
      <c r="A32" s="439">
        <v>1057</v>
      </c>
      <c r="B32" t="s">
        <v>1099</v>
      </c>
      <c r="C32" t="s">
        <v>798</v>
      </c>
      <c r="D32" t="s">
        <v>1100</v>
      </c>
      <c r="E32"/>
      <c r="F32" t="s">
        <v>801</v>
      </c>
      <c r="G32" t="s">
        <v>54</v>
      </c>
      <c r="H32" s="576">
        <v>55449</v>
      </c>
      <c r="I32" s="576">
        <v>5222</v>
      </c>
      <c r="J32" t="s">
        <v>869</v>
      </c>
      <c r="K32" t="s">
        <v>870</v>
      </c>
      <c r="L32" t="s">
        <v>871</v>
      </c>
      <c r="M32" t="s">
        <v>744</v>
      </c>
      <c r="N32" t="s">
        <v>54</v>
      </c>
      <c r="O32" s="576">
        <v>55416</v>
      </c>
      <c r="P32"/>
      <c r="Q32">
        <v>7632784429</v>
      </c>
      <c r="R32">
        <v>7637864577</v>
      </c>
      <c r="S32" t="s">
        <v>872</v>
      </c>
      <c r="T32" t="s">
        <v>873</v>
      </c>
      <c r="U32" t="s">
        <v>1101</v>
      </c>
      <c r="V32" t="s">
        <v>875</v>
      </c>
      <c r="W32" t="s">
        <v>876</v>
      </c>
      <c r="X32" t="s">
        <v>877</v>
      </c>
      <c r="Y32" t="s">
        <v>878</v>
      </c>
      <c r="Z32" t="s">
        <v>879</v>
      </c>
      <c r="AA32" t="s">
        <v>880</v>
      </c>
      <c r="AB32">
        <v>9525136831</v>
      </c>
      <c r="AC32"/>
      <c r="AD32">
        <v>9525136880</v>
      </c>
      <c r="AE32" t="s">
        <v>881</v>
      </c>
      <c r="AF32" t="s">
        <v>869</v>
      </c>
      <c r="AG32" t="s">
        <v>882</v>
      </c>
      <c r="AH32" t="s">
        <v>871</v>
      </c>
      <c r="AI32" t="s">
        <v>744</v>
      </c>
      <c r="AJ32" t="s">
        <v>54</v>
      </c>
      <c r="AK32" s="576">
        <v>55416</v>
      </c>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t="s">
        <v>883</v>
      </c>
      <c r="CG32" t="s">
        <v>884</v>
      </c>
      <c r="CH32" t="s">
        <v>142</v>
      </c>
      <c r="CI32"/>
      <c r="CJ32"/>
      <c r="CK32"/>
      <c r="CL32"/>
      <c r="CM32">
        <v>1659348092</v>
      </c>
      <c r="CN32">
        <v>395</v>
      </c>
      <c r="CO32">
        <v>142</v>
      </c>
      <c r="CP32"/>
      <c r="CQ32"/>
      <c r="CR32"/>
      <c r="CS32" t="s">
        <v>788</v>
      </c>
      <c r="CT32">
        <v>12</v>
      </c>
      <c r="CU32"/>
      <c r="CV32"/>
      <c r="CW32"/>
      <c r="CX32"/>
      <c r="CY32"/>
      <c r="CZ32"/>
      <c r="DA32"/>
      <c r="DB32"/>
      <c r="DC32"/>
      <c r="DD32">
        <v>128</v>
      </c>
      <c r="DE32" t="s">
        <v>1102</v>
      </c>
      <c r="DF32"/>
      <c r="DG32"/>
      <c r="DH32">
        <v>129</v>
      </c>
      <c r="DI32" t="s">
        <v>1103</v>
      </c>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v>48</v>
      </c>
      <c r="ES32"/>
      <c r="ET32"/>
      <c r="EU32"/>
      <c r="EV32" s="439">
        <v>829</v>
      </c>
      <c r="EW32" t="s">
        <v>1359</v>
      </c>
      <c r="EX32" t="s">
        <v>1360</v>
      </c>
      <c r="EY32" t="s">
        <v>1361</v>
      </c>
      <c r="EZ32" t="s">
        <v>54</v>
      </c>
      <c r="FA32">
        <v>56621</v>
      </c>
      <c r="FB32"/>
    </row>
    <row r="33" spans="1:158" s="435" customFormat="1" x14ac:dyDescent="0.2">
      <c r="A33" s="439">
        <v>511</v>
      </c>
      <c r="B33" t="s">
        <v>1104</v>
      </c>
      <c r="C33" t="s">
        <v>1105</v>
      </c>
      <c r="D33" t="s">
        <v>1106</v>
      </c>
      <c r="E33" t="s">
        <v>931</v>
      </c>
      <c r="F33" t="s">
        <v>746</v>
      </c>
      <c r="G33" t="s">
        <v>54</v>
      </c>
      <c r="H33" s="576">
        <v>55337</v>
      </c>
      <c r="I33"/>
      <c r="J33" t="s">
        <v>869</v>
      </c>
      <c r="K33" t="s">
        <v>870</v>
      </c>
      <c r="L33" t="s">
        <v>871</v>
      </c>
      <c r="M33" t="s">
        <v>744</v>
      </c>
      <c r="N33" t="s">
        <v>54</v>
      </c>
      <c r="O33" s="576">
        <v>55416</v>
      </c>
      <c r="P33"/>
      <c r="Q33">
        <v>9528986627</v>
      </c>
      <c r="R33">
        <v>9528986624</v>
      </c>
      <c r="S33" t="s">
        <v>872</v>
      </c>
      <c r="T33" t="s">
        <v>873</v>
      </c>
      <c r="U33" t="s">
        <v>874</v>
      </c>
      <c r="V33" t="s">
        <v>875</v>
      </c>
      <c r="W33" t="s">
        <v>876</v>
      </c>
      <c r="X33" t="s">
        <v>877</v>
      </c>
      <c r="Y33" t="s">
        <v>878</v>
      </c>
      <c r="Z33" t="s">
        <v>879</v>
      </c>
      <c r="AA33" t="s">
        <v>880</v>
      </c>
      <c r="AB33">
        <v>9525136831</v>
      </c>
      <c r="AC33"/>
      <c r="AD33">
        <v>9525136880</v>
      </c>
      <c r="AE33" t="s">
        <v>881</v>
      </c>
      <c r="AF33" t="s">
        <v>869</v>
      </c>
      <c r="AG33" t="s">
        <v>882</v>
      </c>
      <c r="AH33" t="s">
        <v>871</v>
      </c>
      <c r="AI33" t="s">
        <v>744</v>
      </c>
      <c r="AJ33" t="s">
        <v>54</v>
      </c>
      <c r="AK33" s="576">
        <v>55416</v>
      </c>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t="s">
        <v>883</v>
      </c>
      <c r="CG33" t="s">
        <v>884</v>
      </c>
      <c r="CH33" t="s">
        <v>142</v>
      </c>
      <c r="CI33"/>
      <c r="CJ33"/>
      <c r="CK33"/>
      <c r="CL33"/>
      <c r="CM33">
        <v>1659348092</v>
      </c>
      <c r="CN33">
        <v>395</v>
      </c>
      <c r="CO33">
        <v>142</v>
      </c>
      <c r="CP33"/>
      <c r="CQ33"/>
      <c r="CR33"/>
      <c r="CS33" t="s">
        <v>788</v>
      </c>
      <c r="CT33">
        <v>12</v>
      </c>
      <c r="CU33"/>
      <c r="CV33"/>
      <c r="CW33"/>
      <c r="CX33"/>
      <c r="CY33"/>
      <c r="CZ33"/>
      <c r="DA33"/>
      <c r="DB33"/>
      <c r="DC33"/>
      <c r="DD33">
        <v>128</v>
      </c>
      <c r="DE33" t="s">
        <v>1107</v>
      </c>
      <c r="DF33"/>
      <c r="DG33"/>
      <c r="DH33">
        <v>129</v>
      </c>
      <c r="DI33" t="s">
        <v>1108</v>
      </c>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v>48</v>
      </c>
      <c r="ES33"/>
      <c r="ET33"/>
      <c r="EU33"/>
      <c r="EV33" s="439">
        <v>19</v>
      </c>
      <c r="EW33" t="s">
        <v>2749</v>
      </c>
      <c r="EX33" t="s">
        <v>1360</v>
      </c>
      <c r="EY33" t="s">
        <v>1361</v>
      </c>
      <c r="EZ33" t="s">
        <v>54</v>
      </c>
      <c r="FA33">
        <v>56621</v>
      </c>
      <c r="FB33">
        <v>1295859411</v>
      </c>
    </row>
    <row r="34" spans="1:158" s="436" customFormat="1" x14ac:dyDescent="0.2">
      <c r="A34" s="439">
        <v>517</v>
      </c>
      <c r="B34" t="s">
        <v>1109</v>
      </c>
      <c r="C34" t="s">
        <v>1110</v>
      </c>
      <c r="D34" t="s">
        <v>1111</v>
      </c>
      <c r="E34" t="s">
        <v>1112</v>
      </c>
      <c r="F34" t="s">
        <v>801</v>
      </c>
      <c r="G34" t="s">
        <v>54</v>
      </c>
      <c r="H34" s="576">
        <v>55433</v>
      </c>
      <c r="I34"/>
      <c r="J34" t="s">
        <v>869</v>
      </c>
      <c r="K34" t="s">
        <v>870</v>
      </c>
      <c r="L34" t="s">
        <v>871</v>
      </c>
      <c r="M34" t="s">
        <v>744</v>
      </c>
      <c r="N34" t="s">
        <v>54</v>
      </c>
      <c r="O34" s="576">
        <v>55416</v>
      </c>
      <c r="P34"/>
      <c r="Q34">
        <v>7634332000</v>
      </c>
      <c r="R34">
        <v>7634332001</v>
      </c>
      <c r="S34" t="s">
        <v>872</v>
      </c>
      <c r="T34" t="s">
        <v>873</v>
      </c>
      <c r="U34" t="s">
        <v>874</v>
      </c>
      <c r="V34" t="s">
        <v>875</v>
      </c>
      <c r="W34" t="s">
        <v>876</v>
      </c>
      <c r="X34" t="s">
        <v>877</v>
      </c>
      <c r="Y34" t="s">
        <v>878</v>
      </c>
      <c r="Z34" t="s">
        <v>879</v>
      </c>
      <c r="AA34" t="s">
        <v>880</v>
      </c>
      <c r="AB34">
        <v>9525136831</v>
      </c>
      <c r="AC34"/>
      <c r="AD34">
        <v>9525136880</v>
      </c>
      <c r="AE34" t="s">
        <v>881</v>
      </c>
      <c r="AF34" t="s">
        <v>869</v>
      </c>
      <c r="AG34" t="s">
        <v>882</v>
      </c>
      <c r="AH34" t="s">
        <v>871</v>
      </c>
      <c r="AI34" t="s">
        <v>744</v>
      </c>
      <c r="AJ34" t="s">
        <v>54</v>
      </c>
      <c r="AK34" s="576">
        <v>55416</v>
      </c>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t="s">
        <v>883</v>
      </c>
      <c r="CG34" t="s">
        <v>884</v>
      </c>
      <c r="CH34" t="s">
        <v>142</v>
      </c>
      <c r="CI34"/>
      <c r="CJ34"/>
      <c r="CK34"/>
      <c r="CL34"/>
      <c r="CM34">
        <v>1659348092</v>
      </c>
      <c r="CN34">
        <v>395</v>
      </c>
      <c r="CO34">
        <v>142</v>
      </c>
      <c r="CP34"/>
      <c r="CQ34"/>
      <c r="CR34"/>
      <c r="CS34" t="s">
        <v>788</v>
      </c>
      <c r="CT34">
        <v>12</v>
      </c>
      <c r="CU34"/>
      <c r="CV34"/>
      <c r="CW34"/>
      <c r="CX34"/>
      <c r="CY34"/>
      <c r="CZ34"/>
      <c r="DA34"/>
      <c r="DB34"/>
      <c r="DC34"/>
      <c r="DD34">
        <v>128</v>
      </c>
      <c r="DE34" t="s">
        <v>1113</v>
      </c>
      <c r="DF34"/>
      <c r="DG34"/>
      <c r="DH34">
        <v>129</v>
      </c>
      <c r="DI34" t="s">
        <v>1114</v>
      </c>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v>48</v>
      </c>
      <c r="ES34"/>
      <c r="ET34"/>
      <c r="EU34"/>
      <c r="EV34" s="439">
        <v>159</v>
      </c>
      <c r="EW34" t="s">
        <v>2750</v>
      </c>
      <c r="EX34" t="s">
        <v>2751</v>
      </c>
      <c r="EY34" t="s">
        <v>2752</v>
      </c>
      <c r="EZ34" t="s">
        <v>54</v>
      </c>
      <c r="FA34">
        <v>56623</v>
      </c>
      <c r="FB34">
        <v>1922072776</v>
      </c>
    </row>
    <row r="35" spans="1:158" s="435" customFormat="1" x14ac:dyDescent="0.2">
      <c r="A35" s="439">
        <v>742</v>
      </c>
      <c r="B35" t="s">
        <v>1115</v>
      </c>
      <c r="C35" t="s">
        <v>892</v>
      </c>
      <c r="D35" t="s">
        <v>893</v>
      </c>
      <c r="E35" t="s">
        <v>1116</v>
      </c>
      <c r="F35" t="s">
        <v>744</v>
      </c>
      <c r="G35" t="s">
        <v>54</v>
      </c>
      <c r="H35" s="576">
        <v>55344</v>
      </c>
      <c r="I35"/>
      <c r="J35" t="s">
        <v>869</v>
      </c>
      <c r="K35" t="s">
        <v>870</v>
      </c>
      <c r="L35" t="s">
        <v>871</v>
      </c>
      <c r="M35" t="s">
        <v>744</v>
      </c>
      <c r="N35" t="s">
        <v>54</v>
      </c>
      <c r="O35" s="576">
        <v>55416</v>
      </c>
      <c r="P35"/>
      <c r="Q35">
        <v>9523453805</v>
      </c>
      <c r="R35">
        <v>9522948217</v>
      </c>
      <c r="S35" t="s">
        <v>872</v>
      </c>
      <c r="T35" t="s">
        <v>873</v>
      </c>
      <c r="U35" t="s">
        <v>874</v>
      </c>
      <c r="V35" t="s">
        <v>875</v>
      </c>
      <c r="W35" t="s">
        <v>876</v>
      </c>
      <c r="X35" t="s">
        <v>877</v>
      </c>
      <c r="Y35" t="s">
        <v>878</v>
      </c>
      <c r="Z35" t="s">
        <v>879</v>
      </c>
      <c r="AA35" t="s">
        <v>880</v>
      </c>
      <c r="AB35">
        <v>9525136831</v>
      </c>
      <c r="AC35"/>
      <c r="AD35">
        <v>9525136880</v>
      </c>
      <c r="AE35" t="s">
        <v>881</v>
      </c>
      <c r="AF35" t="s">
        <v>869</v>
      </c>
      <c r="AG35" t="s">
        <v>882</v>
      </c>
      <c r="AH35" t="s">
        <v>871</v>
      </c>
      <c r="AI35" t="s">
        <v>744</v>
      </c>
      <c r="AJ35" t="s">
        <v>54</v>
      </c>
      <c r="AK35" s="576">
        <v>55416</v>
      </c>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t="s">
        <v>883</v>
      </c>
      <c r="CG35" t="s">
        <v>884</v>
      </c>
      <c r="CH35" t="s">
        <v>142</v>
      </c>
      <c r="CI35" t="s">
        <v>1095</v>
      </c>
      <c r="CJ35" t="s">
        <v>141</v>
      </c>
      <c r="CK35"/>
      <c r="CL35"/>
      <c r="CM35">
        <v>1699706176</v>
      </c>
      <c r="CN35">
        <v>395</v>
      </c>
      <c r="CO35">
        <v>142</v>
      </c>
      <c r="CP35"/>
      <c r="CQ35"/>
      <c r="CR35"/>
      <c r="CS35" t="s">
        <v>788</v>
      </c>
      <c r="CT35">
        <v>12</v>
      </c>
      <c r="CU35"/>
      <c r="CV35"/>
      <c r="CW35"/>
      <c r="CX35"/>
      <c r="CY35"/>
      <c r="CZ35"/>
      <c r="DA35"/>
      <c r="DB35"/>
      <c r="DC35"/>
      <c r="DD35">
        <v>128</v>
      </c>
      <c r="DE35" t="s">
        <v>1117</v>
      </c>
      <c r="DF35"/>
      <c r="DG35"/>
      <c r="DH35">
        <v>129</v>
      </c>
      <c r="DI35" t="s">
        <v>1118</v>
      </c>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v>48</v>
      </c>
      <c r="ES35">
        <v>11</v>
      </c>
      <c r="ET35"/>
      <c r="EU35"/>
      <c r="EV35" s="439">
        <v>1066</v>
      </c>
      <c r="EW35" t="s">
        <v>723</v>
      </c>
      <c r="EX35" t="s">
        <v>724</v>
      </c>
      <c r="EY35" t="s">
        <v>725</v>
      </c>
      <c r="EZ35" t="s">
        <v>54</v>
      </c>
      <c r="FA35">
        <v>56425</v>
      </c>
      <c r="FB35">
        <v>1265583652</v>
      </c>
    </row>
    <row r="36" spans="1:158" s="435" customFormat="1" x14ac:dyDescent="0.2">
      <c r="A36" s="439">
        <v>1215</v>
      </c>
      <c r="B36" t="s">
        <v>1119</v>
      </c>
      <c r="C36" t="s">
        <v>747</v>
      </c>
      <c r="D36" t="s">
        <v>1120</v>
      </c>
      <c r="E36" t="s">
        <v>911</v>
      </c>
      <c r="F36" t="s">
        <v>746</v>
      </c>
      <c r="G36" t="s">
        <v>54</v>
      </c>
      <c r="H36" s="576">
        <v>55044</v>
      </c>
      <c r="I36" s="576">
        <v>5307</v>
      </c>
      <c r="J36" t="s">
        <v>869</v>
      </c>
      <c r="K36" t="s">
        <v>870</v>
      </c>
      <c r="L36" t="s">
        <v>871</v>
      </c>
      <c r="M36" t="s">
        <v>744</v>
      </c>
      <c r="N36" t="s">
        <v>54</v>
      </c>
      <c r="O36" s="576">
        <v>55416</v>
      </c>
      <c r="P36"/>
      <c r="Q36">
        <v>9523453878</v>
      </c>
      <c r="R36">
        <v>9524694546</v>
      </c>
      <c r="S36" t="s">
        <v>872</v>
      </c>
      <c r="T36" t="s">
        <v>873</v>
      </c>
      <c r="U36" t="s">
        <v>874</v>
      </c>
      <c r="V36" t="s">
        <v>875</v>
      </c>
      <c r="W36" t="s">
        <v>876</v>
      </c>
      <c r="X36" t="s">
        <v>877</v>
      </c>
      <c r="Y36" t="s">
        <v>878</v>
      </c>
      <c r="Z36" t="s">
        <v>879</v>
      </c>
      <c r="AA36" t="s">
        <v>880</v>
      </c>
      <c r="AB36">
        <v>9525136831</v>
      </c>
      <c r="AC36"/>
      <c r="AD36">
        <v>9525136880</v>
      </c>
      <c r="AE36" t="s">
        <v>881</v>
      </c>
      <c r="AF36" t="s">
        <v>869</v>
      </c>
      <c r="AG36" t="s">
        <v>882</v>
      </c>
      <c r="AH36" t="s">
        <v>871</v>
      </c>
      <c r="AI36" t="s">
        <v>744</v>
      </c>
      <c r="AJ36" t="s">
        <v>54</v>
      </c>
      <c r="AK36" s="576">
        <v>55416</v>
      </c>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t="s">
        <v>883</v>
      </c>
      <c r="CG36" t="s">
        <v>884</v>
      </c>
      <c r="CH36" t="s">
        <v>142</v>
      </c>
      <c r="CI36"/>
      <c r="CJ36"/>
      <c r="CK36"/>
      <c r="CL36"/>
      <c r="CM36">
        <v>1659348092</v>
      </c>
      <c r="CN36">
        <v>395</v>
      </c>
      <c r="CO36">
        <v>142</v>
      </c>
      <c r="CP36"/>
      <c r="CQ36"/>
      <c r="CR36"/>
      <c r="CS36" t="s">
        <v>788</v>
      </c>
      <c r="CT36">
        <v>12</v>
      </c>
      <c r="CU36"/>
      <c r="CV36"/>
      <c r="CW36"/>
      <c r="CX36"/>
      <c r="CY36"/>
      <c r="CZ36"/>
      <c r="DA36"/>
      <c r="DB36"/>
      <c r="DC36"/>
      <c r="DD36">
        <v>128</v>
      </c>
      <c r="DE36" t="s">
        <v>1121</v>
      </c>
      <c r="DF36"/>
      <c r="DG36"/>
      <c r="DH36">
        <v>129</v>
      </c>
      <c r="DI36" t="s">
        <v>1122</v>
      </c>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v>48</v>
      </c>
      <c r="ES36"/>
      <c r="ET36"/>
      <c r="EU36"/>
      <c r="EV36" s="439">
        <v>347</v>
      </c>
      <c r="EW36" t="s">
        <v>2753</v>
      </c>
      <c r="EX36" t="s">
        <v>724</v>
      </c>
      <c r="EY36" t="s">
        <v>2754</v>
      </c>
      <c r="EZ36" t="s">
        <v>54</v>
      </c>
      <c r="FA36">
        <v>56425</v>
      </c>
      <c r="FB36">
        <v>1750378295</v>
      </c>
    </row>
    <row r="37" spans="1:158" s="435" customFormat="1" x14ac:dyDescent="0.2">
      <c r="A37" s="439">
        <v>552</v>
      </c>
      <c r="B37" t="s">
        <v>1123</v>
      </c>
      <c r="C37" t="s">
        <v>1036</v>
      </c>
      <c r="D37" t="s">
        <v>1124</v>
      </c>
      <c r="E37"/>
      <c r="F37" t="s">
        <v>912</v>
      </c>
      <c r="G37" t="s">
        <v>54</v>
      </c>
      <c r="H37" s="576">
        <v>55109</v>
      </c>
      <c r="I37"/>
      <c r="J37" t="s">
        <v>869</v>
      </c>
      <c r="K37" t="s">
        <v>870</v>
      </c>
      <c r="L37" t="s">
        <v>871</v>
      </c>
      <c r="M37" t="s">
        <v>744</v>
      </c>
      <c r="N37" t="s">
        <v>54</v>
      </c>
      <c r="O37" s="576">
        <v>55416</v>
      </c>
      <c r="P37"/>
      <c r="Q37">
        <v>6517488226</v>
      </c>
      <c r="R37">
        <v>6517482864</v>
      </c>
      <c r="S37" t="s">
        <v>872</v>
      </c>
      <c r="T37" t="s">
        <v>873</v>
      </c>
      <c r="U37" t="s">
        <v>874</v>
      </c>
      <c r="V37" t="s">
        <v>875</v>
      </c>
      <c r="W37" t="s">
        <v>876</v>
      </c>
      <c r="X37" t="s">
        <v>877</v>
      </c>
      <c r="Y37" t="s">
        <v>878</v>
      </c>
      <c r="Z37" t="s">
        <v>879</v>
      </c>
      <c r="AA37" t="s">
        <v>880</v>
      </c>
      <c r="AB37">
        <v>9525136831</v>
      </c>
      <c r="AC37"/>
      <c r="AD37">
        <v>9525136880</v>
      </c>
      <c r="AE37" t="s">
        <v>881</v>
      </c>
      <c r="AF37" t="s">
        <v>869</v>
      </c>
      <c r="AG37" t="s">
        <v>882</v>
      </c>
      <c r="AH37" t="s">
        <v>871</v>
      </c>
      <c r="AI37" t="s">
        <v>744</v>
      </c>
      <c r="AJ37" t="s">
        <v>54</v>
      </c>
      <c r="AK37" s="576">
        <v>55416</v>
      </c>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t="s">
        <v>883</v>
      </c>
      <c r="CG37" t="s">
        <v>884</v>
      </c>
      <c r="CH37" t="s">
        <v>142</v>
      </c>
      <c r="CI37"/>
      <c r="CJ37"/>
      <c r="CK37"/>
      <c r="CL37"/>
      <c r="CM37">
        <v>1659348092</v>
      </c>
      <c r="CN37">
        <v>395</v>
      </c>
      <c r="CO37">
        <v>142</v>
      </c>
      <c r="CP37"/>
      <c r="CQ37"/>
      <c r="CR37"/>
      <c r="CS37" t="s">
        <v>788</v>
      </c>
      <c r="CT37">
        <v>12</v>
      </c>
      <c r="CU37"/>
      <c r="CV37"/>
      <c r="CW37"/>
      <c r="CX37"/>
      <c r="CY37"/>
      <c r="CZ37"/>
      <c r="DA37"/>
      <c r="DB37"/>
      <c r="DC37"/>
      <c r="DD37">
        <v>128</v>
      </c>
      <c r="DE37" t="s">
        <v>1125</v>
      </c>
      <c r="DF37"/>
      <c r="DG37"/>
      <c r="DH37">
        <v>129</v>
      </c>
      <c r="DI37" t="s">
        <v>1126</v>
      </c>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v>48</v>
      </c>
      <c r="ES37"/>
      <c r="ET37"/>
      <c r="EU37"/>
      <c r="EV37" s="439">
        <v>1200</v>
      </c>
      <c r="EW37" t="s">
        <v>2755</v>
      </c>
      <c r="EX37" t="s">
        <v>724</v>
      </c>
      <c r="EY37" t="s">
        <v>2756</v>
      </c>
      <c r="EZ37" t="s">
        <v>54</v>
      </c>
      <c r="FA37">
        <v>56425</v>
      </c>
      <c r="FB37"/>
    </row>
    <row r="38" spans="1:158" s="435" customFormat="1" x14ac:dyDescent="0.2">
      <c r="A38" s="439">
        <v>1436</v>
      </c>
      <c r="B38" t="s">
        <v>1127</v>
      </c>
      <c r="C38" t="s">
        <v>1128</v>
      </c>
      <c r="D38" t="s">
        <v>1129</v>
      </c>
      <c r="E38" t="s">
        <v>911</v>
      </c>
      <c r="F38" t="s">
        <v>744</v>
      </c>
      <c r="G38" t="s">
        <v>54</v>
      </c>
      <c r="H38" s="576">
        <v>55446</v>
      </c>
      <c r="I38" t="s">
        <v>749</v>
      </c>
      <c r="J38" t="s">
        <v>869</v>
      </c>
      <c r="K38" t="s">
        <v>870</v>
      </c>
      <c r="L38" t="s">
        <v>871</v>
      </c>
      <c r="M38" t="s">
        <v>744</v>
      </c>
      <c r="N38" t="s">
        <v>54</v>
      </c>
      <c r="O38" s="576">
        <v>55416</v>
      </c>
      <c r="P38"/>
      <c r="Q38">
        <v>9525411840</v>
      </c>
      <c r="R38">
        <v>9525436524</v>
      </c>
      <c r="S38" t="s">
        <v>872</v>
      </c>
      <c r="T38" t="s">
        <v>873</v>
      </c>
      <c r="U38" t="s">
        <v>874</v>
      </c>
      <c r="V38" t="s">
        <v>875</v>
      </c>
      <c r="W38" t="s">
        <v>876</v>
      </c>
      <c r="X38" t="s">
        <v>877</v>
      </c>
      <c r="Y38" t="s">
        <v>878</v>
      </c>
      <c r="Z38" t="s">
        <v>879</v>
      </c>
      <c r="AA38" t="s">
        <v>880</v>
      </c>
      <c r="AB38">
        <v>9525136831</v>
      </c>
      <c r="AC38"/>
      <c r="AD38">
        <v>9525136880</v>
      </c>
      <c r="AE38" t="s">
        <v>881</v>
      </c>
      <c r="AF38" t="s">
        <v>869</v>
      </c>
      <c r="AG38" t="s">
        <v>882</v>
      </c>
      <c r="AH38" t="s">
        <v>871</v>
      </c>
      <c r="AI38" t="s">
        <v>744</v>
      </c>
      <c r="AJ38" t="s">
        <v>54</v>
      </c>
      <c r="AK38" s="576">
        <v>55416</v>
      </c>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t="s">
        <v>883</v>
      </c>
      <c r="CG38" t="s">
        <v>884</v>
      </c>
      <c r="CH38" t="s">
        <v>142</v>
      </c>
      <c r="CI38"/>
      <c r="CJ38"/>
      <c r="CK38"/>
      <c r="CL38"/>
      <c r="CM38">
        <v>1659348092</v>
      </c>
      <c r="CN38">
        <v>395</v>
      </c>
      <c r="CO38">
        <v>142</v>
      </c>
      <c r="CP38"/>
      <c r="CQ38"/>
      <c r="CR38"/>
      <c r="CS38" t="s">
        <v>788</v>
      </c>
      <c r="CT38">
        <v>12</v>
      </c>
      <c r="CU38"/>
      <c r="CV38"/>
      <c r="CW38"/>
      <c r="CX38" t="s">
        <v>749</v>
      </c>
      <c r="CY38"/>
      <c r="CZ38" t="s">
        <v>749</v>
      </c>
      <c r="DA38" t="s">
        <v>749</v>
      </c>
      <c r="DB38" t="s">
        <v>749</v>
      </c>
      <c r="DC38" t="s">
        <v>749</v>
      </c>
      <c r="DD38">
        <v>128</v>
      </c>
      <c r="DE38" t="s">
        <v>1130</v>
      </c>
      <c r="DF38"/>
      <c r="DG38"/>
      <c r="DH38">
        <v>129</v>
      </c>
      <c r="DI38" t="s">
        <v>1131</v>
      </c>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v>48</v>
      </c>
      <c r="ES38"/>
      <c r="ET38"/>
      <c r="EU38"/>
      <c r="EV38" s="439">
        <v>254</v>
      </c>
      <c r="EW38" t="s">
        <v>2757</v>
      </c>
      <c r="EX38" t="s">
        <v>724</v>
      </c>
      <c r="EY38" t="s">
        <v>2758</v>
      </c>
      <c r="EZ38" t="s">
        <v>54</v>
      </c>
      <c r="FA38">
        <v>56425</v>
      </c>
      <c r="FB38">
        <v>1487715033</v>
      </c>
    </row>
    <row r="39" spans="1:158" s="435" customFormat="1" x14ac:dyDescent="0.2">
      <c r="A39" s="439">
        <v>1216</v>
      </c>
      <c r="B39" t="s">
        <v>1132</v>
      </c>
      <c r="C39" t="s">
        <v>1133</v>
      </c>
      <c r="D39" t="s">
        <v>1134</v>
      </c>
      <c r="E39" t="s">
        <v>1135</v>
      </c>
      <c r="F39" t="s">
        <v>912</v>
      </c>
      <c r="G39" t="s">
        <v>54</v>
      </c>
      <c r="H39" s="576">
        <v>55113</v>
      </c>
      <c r="I39" s="576">
        <v>1352</v>
      </c>
      <c r="J39" t="s">
        <v>869</v>
      </c>
      <c r="K39" t="s">
        <v>870</v>
      </c>
      <c r="L39" t="s">
        <v>871</v>
      </c>
      <c r="M39" t="s">
        <v>744</v>
      </c>
      <c r="N39" t="s">
        <v>54</v>
      </c>
      <c r="O39" s="576">
        <v>55416</v>
      </c>
      <c r="P39"/>
      <c r="Q39">
        <v>6512874929</v>
      </c>
      <c r="R39">
        <v>6512096781</v>
      </c>
      <c r="S39" t="s">
        <v>872</v>
      </c>
      <c r="T39" t="s">
        <v>873</v>
      </c>
      <c r="U39" t="s">
        <v>874</v>
      </c>
      <c r="V39" t="s">
        <v>875</v>
      </c>
      <c r="W39" t="s">
        <v>876</v>
      </c>
      <c r="X39" t="s">
        <v>877</v>
      </c>
      <c r="Y39" t="s">
        <v>878</v>
      </c>
      <c r="Z39" t="s">
        <v>879</v>
      </c>
      <c r="AA39" t="s">
        <v>880</v>
      </c>
      <c r="AB39">
        <v>9525136831</v>
      </c>
      <c r="AC39"/>
      <c r="AD39">
        <v>9525136880</v>
      </c>
      <c r="AE39" t="s">
        <v>881</v>
      </c>
      <c r="AF39" t="s">
        <v>869</v>
      </c>
      <c r="AG39" t="s">
        <v>882</v>
      </c>
      <c r="AH39" t="s">
        <v>871</v>
      </c>
      <c r="AI39" t="s">
        <v>744</v>
      </c>
      <c r="AJ39" t="s">
        <v>54</v>
      </c>
      <c r="AK39" s="576">
        <v>55416</v>
      </c>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t="s">
        <v>883</v>
      </c>
      <c r="CG39" t="s">
        <v>884</v>
      </c>
      <c r="CH39" t="s">
        <v>142</v>
      </c>
      <c r="CI39"/>
      <c r="CJ39"/>
      <c r="CK39"/>
      <c r="CL39"/>
      <c r="CM39">
        <v>1659348092</v>
      </c>
      <c r="CN39">
        <v>395</v>
      </c>
      <c r="CO39">
        <v>142</v>
      </c>
      <c r="CP39"/>
      <c r="CQ39"/>
      <c r="CR39"/>
      <c r="CS39" t="s">
        <v>788</v>
      </c>
      <c r="CT39">
        <v>12</v>
      </c>
      <c r="CU39"/>
      <c r="CV39"/>
      <c r="CW39"/>
      <c r="CX39"/>
      <c r="CY39"/>
      <c r="CZ39"/>
      <c r="DA39"/>
      <c r="DB39"/>
      <c r="DC39"/>
      <c r="DD39">
        <v>128</v>
      </c>
      <c r="DE39" t="s">
        <v>1136</v>
      </c>
      <c r="DF39"/>
      <c r="DG39"/>
      <c r="DH39">
        <v>129</v>
      </c>
      <c r="DI39" t="s">
        <v>1137</v>
      </c>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v>48</v>
      </c>
      <c r="ES39"/>
      <c r="ET39"/>
      <c r="EU39"/>
      <c r="EV39" s="439">
        <v>1168</v>
      </c>
      <c r="EW39" t="s">
        <v>1461</v>
      </c>
      <c r="EX39" t="s">
        <v>724</v>
      </c>
      <c r="EY39" t="s">
        <v>1462</v>
      </c>
      <c r="EZ39" t="s">
        <v>54</v>
      </c>
      <c r="FA39">
        <v>56425</v>
      </c>
      <c r="FB39">
        <v>1538143896</v>
      </c>
    </row>
    <row r="40" spans="1:158" s="435" customFormat="1" x14ac:dyDescent="0.2">
      <c r="A40" s="439">
        <v>591</v>
      </c>
      <c r="B40" t="s">
        <v>1138</v>
      </c>
      <c r="C40" t="s">
        <v>854</v>
      </c>
      <c r="D40" t="s">
        <v>1139</v>
      </c>
      <c r="E40"/>
      <c r="F40" t="s">
        <v>855</v>
      </c>
      <c r="G40" t="s">
        <v>54</v>
      </c>
      <c r="H40" s="576">
        <v>56303</v>
      </c>
      <c r="I40"/>
      <c r="J40" t="s">
        <v>869</v>
      </c>
      <c r="K40" t="s">
        <v>870</v>
      </c>
      <c r="L40" t="s">
        <v>871</v>
      </c>
      <c r="M40" t="s">
        <v>744</v>
      </c>
      <c r="N40" t="s">
        <v>54</v>
      </c>
      <c r="O40" s="576">
        <v>55416</v>
      </c>
      <c r="P40"/>
      <c r="Q40">
        <v>3202510609</v>
      </c>
      <c r="R40">
        <v>3202513806</v>
      </c>
      <c r="S40" t="s">
        <v>872</v>
      </c>
      <c r="T40" t="s">
        <v>873</v>
      </c>
      <c r="U40" t="s">
        <v>1140</v>
      </c>
      <c r="V40" t="s">
        <v>875</v>
      </c>
      <c r="W40" t="s">
        <v>876</v>
      </c>
      <c r="X40" t="s">
        <v>877</v>
      </c>
      <c r="Y40" t="s">
        <v>878</v>
      </c>
      <c r="Z40" t="s">
        <v>879</v>
      </c>
      <c r="AA40" t="s">
        <v>880</v>
      </c>
      <c r="AB40">
        <v>9525136831</v>
      </c>
      <c r="AC40"/>
      <c r="AD40">
        <v>9525136880</v>
      </c>
      <c r="AE40" t="s">
        <v>881</v>
      </c>
      <c r="AF40" t="s">
        <v>869</v>
      </c>
      <c r="AG40" t="s">
        <v>882</v>
      </c>
      <c r="AH40" t="s">
        <v>871</v>
      </c>
      <c r="AI40" t="s">
        <v>744</v>
      </c>
      <c r="AJ40" t="s">
        <v>54</v>
      </c>
      <c r="AK40" s="576">
        <v>55416</v>
      </c>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t="s">
        <v>883</v>
      </c>
      <c r="CG40" t="s">
        <v>884</v>
      </c>
      <c r="CH40" t="s">
        <v>142</v>
      </c>
      <c r="CI40"/>
      <c r="CJ40"/>
      <c r="CK40"/>
      <c r="CL40"/>
      <c r="CM40">
        <v>1659348092</v>
      </c>
      <c r="CN40">
        <v>395</v>
      </c>
      <c r="CO40">
        <v>142</v>
      </c>
      <c r="CP40"/>
      <c r="CQ40"/>
      <c r="CR40"/>
      <c r="CS40" t="s">
        <v>788</v>
      </c>
      <c r="CT40">
        <v>12</v>
      </c>
      <c r="CU40"/>
      <c r="CV40"/>
      <c r="CW40"/>
      <c r="CX40"/>
      <c r="CY40"/>
      <c r="CZ40"/>
      <c r="DA40"/>
      <c r="DB40"/>
      <c r="DC40"/>
      <c r="DD40">
        <v>128</v>
      </c>
      <c r="DE40" t="s">
        <v>1141</v>
      </c>
      <c r="DF40"/>
      <c r="DG40"/>
      <c r="DH40">
        <v>129</v>
      </c>
      <c r="DI40" t="s">
        <v>1142</v>
      </c>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v>48</v>
      </c>
      <c r="ES40"/>
      <c r="ET40"/>
      <c r="EU40"/>
      <c r="EV40" s="439">
        <v>537</v>
      </c>
      <c r="EW40" t="s">
        <v>2759</v>
      </c>
      <c r="EX40" t="s">
        <v>724</v>
      </c>
      <c r="EY40" t="s">
        <v>1462</v>
      </c>
      <c r="EZ40" t="s">
        <v>54</v>
      </c>
      <c r="FA40">
        <v>56425</v>
      </c>
      <c r="FB40"/>
    </row>
    <row r="41" spans="1:158" s="436" customFormat="1" x14ac:dyDescent="0.2">
      <c r="A41" s="439">
        <v>773</v>
      </c>
      <c r="B41" t="s">
        <v>1143</v>
      </c>
      <c r="C41" t="s">
        <v>835</v>
      </c>
      <c r="D41" t="s">
        <v>1144</v>
      </c>
      <c r="E41" t="s">
        <v>1145</v>
      </c>
      <c r="F41" t="s">
        <v>838</v>
      </c>
      <c r="G41" t="s">
        <v>54</v>
      </c>
      <c r="H41" s="576">
        <v>55125</v>
      </c>
      <c r="I41"/>
      <c r="J41" t="s">
        <v>869</v>
      </c>
      <c r="K41" t="s">
        <v>870</v>
      </c>
      <c r="L41" t="s">
        <v>871</v>
      </c>
      <c r="M41" t="s">
        <v>744</v>
      </c>
      <c r="N41" t="s">
        <v>54</v>
      </c>
      <c r="O41" s="576">
        <v>55416</v>
      </c>
      <c r="P41"/>
      <c r="Q41">
        <v>6517884040</v>
      </c>
      <c r="R41">
        <v>6512976115</v>
      </c>
      <c r="S41" t="s">
        <v>872</v>
      </c>
      <c r="T41" t="s">
        <v>873</v>
      </c>
      <c r="U41" t="s">
        <v>874</v>
      </c>
      <c r="V41" t="s">
        <v>875</v>
      </c>
      <c r="W41" t="s">
        <v>876</v>
      </c>
      <c r="X41" t="s">
        <v>877</v>
      </c>
      <c r="Y41" t="s">
        <v>878</v>
      </c>
      <c r="Z41" t="s">
        <v>879</v>
      </c>
      <c r="AA41" t="s">
        <v>880</v>
      </c>
      <c r="AB41">
        <v>9525136831</v>
      </c>
      <c r="AC41"/>
      <c r="AD41">
        <v>9525136880</v>
      </c>
      <c r="AE41" t="s">
        <v>881</v>
      </c>
      <c r="AF41" t="s">
        <v>869</v>
      </c>
      <c r="AG41" t="s">
        <v>882</v>
      </c>
      <c r="AH41" t="s">
        <v>871</v>
      </c>
      <c r="AI41" t="s">
        <v>744</v>
      </c>
      <c r="AJ41" t="s">
        <v>54</v>
      </c>
      <c r="AK41" s="576">
        <v>55416</v>
      </c>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t="s">
        <v>883</v>
      </c>
      <c r="CG41" t="s">
        <v>884</v>
      </c>
      <c r="CH41" t="s">
        <v>142</v>
      </c>
      <c r="CI41"/>
      <c r="CJ41"/>
      <c r="CK41"/>
      <c r="CL41"/>
      <c r="CM41">
        <v>1659348092</v>
      </c>
      <c r="CN41">
        <v>395</v>
      </c>
      <c r="CO41">
        <v>142</v>
      </c>
      <c r="CP41"/>
      <c r="CQ41"/>
      <c r="CR41"/>
      <c r="CS41" t="s">
        <v>788</v>
      </c>
      <c r="CT41">
        <v>12</v>
      </c>
      <c r="CU41"/>
      <c r="CV41"/>
      <c r="CW41"/>
      <c r="CX41"/>
      <c r="CY41"/>
      <c r="CZ41"/>
      <c r="DA41"/>
      <c r="DB41"/>
      <c r="DC41"/>
      <c r="DD41">
        <v>128</v>
      </c>
      <c r="DE41" t="s">
        <v>1146</v>
      </c>
      <c r="DF41">
        <v>131</v>
      </c>
      <c r="DG41" t="s">
        <v>1147</v>
      </c>
      <c r="DH41">
        <v>129</v>
      </c>
      <c r="DI41" t="s">
        <v>1148</v>
      </c>
      <c r="DJ41">
        <v>130</v>
      </c>
      <c r="DK41" t="s">
        <v>1149</v>
      </c>
      <c r="DL41"/>
      <c r="DM41"/>
      <c r="DN41"/>
      <c r="DO41"/>
      <c r="DP41"/>
      <c r="DQ41"/>
      <c r="DR41"/>
      <c r="DS41"/>
      <c r="DT41"/>
      <c r="DU41"/>
      <c r="DV41"/>
      <c r="DW41"/>
      <c r="DX41"/>
      <c r="DY41"/>
      <c r="DZ41"/>
      <c r="EA41"/>
      <c r="EB41"/>
      <c r="EC41"/>
      <c r="ED41"/>
      <c r="EE41"/>
      <c r="EF41"/>
      <c r="EG41"/>
      <c r="EH41"/>
      <c r="EI41"/>
      <c r="EJ41"/>
      <c r="EK41"/>
      <c r="EL41"/>
      <c r="EM41"/>
      <c r="EN41"/>
      <c r="EO41"/>
      <c r="EP41"/>
      <c r="EQ41"/>
      <c r="ER41">
        <v>48</v>
      </c>
      <c r="ES41"/>
      <c r="ET41"/>
      <c r="EU41"/>
      <c r="EV41" s="439">
        <v>256</v>
      </c>
      <c r="EW41" t="s">
        <v>2760</v>
      </c>
      <c r="EX41" t="s">
        <v>2130</v>
      </c>
      <c r="EY41" t="s">
        <v>2761</v>
      </c>
      <c r="EZ41" t="s">
        <v>54</v>
      </c>
      <c r="FA41">
        <v>56601</v>
      </c>
      <c r="FB41">
        <v>1043331358</v>
      </c>
    </row>
    <row r="42" spans="1:158" s="435" customFormat="1" x14ac:dyDescent="0.2">
      <c r="A42" s="439">
        <v>519</v>
      </c>
      <c r="B42" t="s">
        <v>1150</v>
      </c>
      <c r="C42" t="s">
        <v>1151</v>
      </c>
      <c r="D42" t="s">
        <v>1152</v>
      </c>
      <c r="E42" t="s">
        <v>1153</v>
      </c>
      <c r="F42" t="s">
        <v>1154</v>
      </c>
      <c r="G42" t="s">
        <v>54</v>
      </c>
      <c r="H42" s="576">
        <v>56031</v>
      </c>
      <c r="I42"/>
      <c r="J42" t="s">
        <v>1152</v>
      </c>
      <c r="K42" t="s">
        <v>1153</v>
      </c>
      <c r="L42" t="s">
        <v>1151</v>
      </c>
      <c r="M42" t="s">
        <v>1154</v>
      </c>
      <c r="N42" t="s">
        <v>54</v>
      </c>
      <c r="O42" s="576">
        <v>56031</v>
      </c>
      <c r="P42"/>
      <c r="Q42">
        <v>5072384949</v>
      </c>
      <c r="R42">
        <v>5072383385</v>
      </c>
      <c r="S42" t="s">
        <v>1155</v>
      </c>
      <c r="T42" t="s">
        <v>1156</v>
      </c>
      <c r="U42" t="s">
        <v>740</v>
      </c>
      <c r="V42" t="s">
        <v>1157</v>
      </c>
      <c r="W42"/>
      <c r="X42" t="s">
        <v>1158</v>
      </c>
      <c r="Y42" t="s">
        <v>1159</v>
      </c>
      <c r="Z42" t="s">
        <v>1160</v>
      </c>
      <c r="AA42" t="s">
        <v>1150</v>
      </c>
      <c r="AB42">
        <v>5072384949</v>
      </c>
      <c r="AC42">
        <v>120</v>
      </c>
      <c r="AD42">
        <v>5072383365</v>
      </c>
      <c r="AE42" t="s">
        <v>1161</v>
      </c>
      <c r="AF42" t="s">
        <v>1152</v>
      </c>
      <c r="AG42" t="s">
        <v>1153</v>
      </c>
      <c r="AH42" t="s">
        <v>1151</v>
      </c>
      <c r="AI42" t="s">
        <v>1154</v>
      </c>
      <c r="AJ42" t="s">
        <v>54</v>
      </c>
      <c r="AK42" s="576">
        <v>56031</v>
      </c>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t="s">
        <v>1162</v>
      </c>
      <c r="CG42" t="s">
        <v>733</v>
      </c>
      <c r="CH42" t="s">
        <v>56</v>
      </c>
      <c r="CI42"/>
      <c r="CJ42"/>
      <c r="CK42"/>
      <c r="CL42"/>
      <c r="CM42">
        <v>1134173644</v>
      </c>
      <c r="CN42">
        <v>2868</v>
      </c>
      <c r="CO42">
        <v>3062</v>
      </c>
      <c r="CP42"/>
      <c r="CQ42"/>
      <c r="CR42"/>
      <c r="CS42" t="s">
        <v>788</v>
      </c>
      <c r="CT42">
        <v>12</v>
      </c>
      <c r="CU42">
        <v>158</v>
      </c>
      <c r="CV42"/>
      <c r="CW42"/>
      <c r="CX42"/>
      <c r="CY42"/>
      <c r="CZ42"/>
      <c r="DA42"/>
      <c r="DB42"/>
      <c r="DC42"/>
      <c r="DD42"/>
      <c r="DE42"/>
      <c r="DF42"/>
      <c r="DG42"/>
      <c r="DH42"/>
      <c r="DI42"/>
      <c r="DJ42"/>
      <c r="DK42"/>
      <c r="DL42">
        <v>132</v>
      </c>
      <c r="DM42" t="s">
        <v>1163</v>
      </c>
      <c r="DN42"/>
      <c r="DO42"/>
      <c r="DP42"/>
      <c r="DQ42"/>
      <c r="DR42"/>
      <c r="DS42"/>
      <c r="DT42"/>
      <c r="DU42"/>
      <c r="DV42"/>
      <c r="DW42"/>
      <c r="DX42"/>
      <c r="DY42"/>
      <c r="DZ42"/>
      <c r="EA42"/>
      <c r="EB42"/>
      <c r="EC42"/>
      <c r="ED42"/>
      <c r="EE42"/>
      <c r="EF42"/>
      <c r="EG42"/>
      <c r="EH42"/>
      <c r="EI42"/>
      <c r="EJ42"/>
      <c r="EK42"/>
      <c r="EL42"/>
      <c r="EM42"/>
      <c r="EN42"/>
      <c r="EO42"/>
      <c r="EP42"/>
      <c r="EQ42"/>
      <c r="ER42">
        <v>0</v>
      </c>
      <c r="ES42"/>
      <c r="ET42"/>
      <c r="EU42"/>
      <c r="EV42" s="439">
        <v>1966</v>
      </c>
      <c r="EW42" t="s">
        <v>2129</v>
      </c>
      <c r="EX42" t="s">
        <v>2130</v>
      </c>
      <c r="EY42" t="s">
        <v>2131</v>
      </c>
      <c r="EZ42" t="s">
        <v>54</v>
      </c>
      <c r="FA42">
        <v>56601</v>
      </c>
      <c r="FB42">
        <v>1942382379</v>
      </c>
    </row>
    <row r="43" spans="1:158" s="435" customFormat="1" x14ac:dyDescent="0.2">
      <c r="A43" s="439">
        <v>743</v>
      </c>
      <c r="B43" t="s">
        <v>1164</v>
      </c>
      <c r="C43" t="s">
        <v>854</v>
      </c>
      <c r="D43" t="s">
        <v>1139</v>
      </c>
      <c r="E43"/>
      <c r="F43" t="s">
        <v>855</v>
      </c>
      <c r="G43" t="s">
        <v>54</v>
      </c>
      <c r="H43" s="576">
        <v>56303</v>
      </c>
      <c r="I43"/>
      <c r="J43" t="s">
        <v>1139</v>
      </c>
      <c r="K43"/>
      <c r="L43" t="s">
        <v>854</v>
      </c>
      <c r="M43" t="s">
        <v>855</v>
      </c>
      <c r="N43" t="s">
        <v>54</v>
      </c>
      <c r="O43" s="576">
        <v>56303</v>
      </c>
      <c r="P43"/>
      <c r="Q43">
        <v>3202028949</v>
      </c>
      <c r="R43">
        <v>3205294747</v>
      </c>
      <c r="S43" t="s">
        <v>1165</v>
      </c>
      <c r="T43" t="s">
        <v>1166</v>
      </c>
      <c r="U43" t="s">
        <v>1167</v>
      </c>
      <c r="V43" t="s">
        <v>1168</v>
      </c>
      <c r="W43" t="s">
        <v>1169</v>
      </c>
      <c r="X43" t="s">
        <v>1170</v>
      </c>
      <c r="Y43" t="s">
        <v>1171</v>
      </c>
      <c r="Z43" t="s">
        <v>1172</v>
      </c>
      <c r="AA43" t="s">
        <v>1173</v>
      </c>
      <c r="AB43">
        <v>3202512700</v>
      </c>
      <c r="AC43">
        <v>54401</v>
      </c>
      <c r="AD43">
        <v>3202555730</v>
      </c>
      <c r="AE43" t="s">
        <v>1174</v>
      </c>
      <c r="AF43" t="s">
        <v>1175</v>
      </c>
      <c r="AG43"/>
      <c r="AH43" t="s">
        <v>854</v>
      </c>
      <c r="AI43" t="s">
        <v>855</v>
      </c>
      <c r="AJ43" t="s">
        <v>54</v>
      </c>
      <c r="AK43" s="576">
        <v>56303</v>
      </c>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t="s">
        <v>883</v>
      </c>
      <c r="CG43" t="s">
        <v>851</v>
      </c>
      <c r="CH43" t="s">
        <v>141</v>
      </c>
      <c r="CI43" t="s">
        <v>884</v>
      </c>
      <c r="CJ43" t="s">
        <v>142</v>
      </c>
      <c r="CK43"/>
      <c r="CL43"/>
      <c r="CM43">
        <v>1689196339</v>
      </c>
      <c r="CN43">
        <v>421</v>
      </c>
      <c r="CO43">
        <v>185</v>
      </c>
      <c r="CP43"/>
      <c r="CQ43"/>
      <c r="CR43"/>
      <c r="CS43" t="s">
        <v>788</v>
      </c>
      <c r="CT43">
        <v>12</v>
      </c>
      <c r="CU43"/>
      <c r="CV43"/>
      <c r="CW43"/>
      <c r="CX43"/>
      <c r="CY43"/>
      <c r="CZ43"/>
      <c r="DA43"/>
      <c r="DB43"/>
      <c r="DC43"/>
      <c r="DD43"/>
      <c r="DE43"/>
      <c r="DF43"/>
      <c r="DG43"/>
      <c r="DH43">
        <v>129</v>
      </c>
      <c r="DI43" t="s">
        <v>1142</v>
      </c>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v>8</v>
      </c>
      <c r="ES43">
        <v>48</v>
      </c>
      <c r="ET43"/>
      <c r="EU43"/>
      <c r="EV43" s="439">
        <v>102</v>
      </c>
      <c r="EW43" t="s">
        <v>2762</v>
      </c>
      <c r="EX43" t="s">
        <v>2130</v>
      </c>
      <c r="EY43" t="s">
        <v>2763</v>
      </c>
      <c r="EZ43" t="s">
        <v>54</v>
      </c>
      <c r="FA43">
        <v>56601</v>
      </c>
      <c r="FB43">
        <v>1801870191</v>
      </c>
    </row>
    <row r="44" spans="1:158" s="435" customFormat="1" x14ac:dyDescent="0.2">
      <c r="A44" s="439">
        <v>1860</v>
      </c>
      <c r="B44" t="s">
        <v>1176</v>
      </c>
      <c r="C44" t="s">
        <v>854</v>
      </c>
      <c r="D44" t="s">
        <v>1177</v>
      </c>
      <c r="E44" t="s">
        <v>749</v>
      </c>
      <c r="F44" t="s">
        <v>855</v>
      </c>
      <c r="G44" t="s">
        <v>54</v>
      </c>
      <c r="H44" s="576">
        <v>56301</v>
      </c>
      <c r="I44" t="s">
        <v>749</v>
      </c>
      <c r="J44" t="s">
        <v>1177</v>
      </c>
      <c r="K44" t="s">
        <v>749</v>
      </c>
      <c r="L44" t="s">
        <v>854</v>
      </c>
      <c r="M44" t="s">
        <v>855</v>
      </c>
      <c r="N44" t="s">
        <v>54</v>
      </c>
      <c r="O44" s="576">
        <v>56301</v>
      </c>
      <c r="P44" t="s">
        <v>749</v>
      </c>
      <c r="Q44">
        <v>3202556530</v>
      </c>
      <c r="R44">
        <v>3202556365</v>
      </c>
      <c r="S44" t="s">
        <v>1178</v>
      </c>
      <c r="T44" t="s">
        <v>1179</v>
      </c>
      <c r="U44" t="s">
        <v>1180</v>
      </c>
      <c r="V44" t="s">
        <v>1181</v>
      </c>
      <c r="W44" t="s">
        <v>1182</v>
      </c>
      <c r="X44" t="s">
        <v>1183</v>
      </c>
      <c r="Y44" t="s">
        <v>1184</v>
      </c>
      <c r="Z44" t="s">
        <v>1185</v>
      </c>
      <c r="AA44" t="s">
        <v>1176</v>
      </c>
      <c r="AB44">
        <v>3202575595</v>
      </c>
      <c r="AC44"/>
      <c r="AD44">
        <v>3202575596</v>
      </c>
      <c r="AE44" t="s">
        <v>1186</v>
      </c>
      <c r="AF44" t="s">
        <v>1177</v>
      </c>
      <c r="AG44" t="s">
        <v>749</v>
      </c>
      <c r="AH44" t="s">
        <v>854</v>
      </c>
      <c r="AI44" t="s">
        <v>855</v>
      </c>
      <c r="AJ44" t="s">
        <v>54</v>
      </c>
      <c r="AK44" s="576">
        <v>56301</v>
      </c>
      <c r="AL44" t="s">
        <v>749</v>
      </c>
      <c r="AM44" t="s">
        <v>961</v>
      </c>
      <c r="AN44" t="s">
        <v>1187</v>
      </c>
      <c r="AO44" t="s">
        <v>1188</v>
      </c>
      <c r="AP44" t="s">
        <v>1176</v>
      </c>
      <c r="AQ44">
        <v>3202575595</v>
      </c>
      <c r="AR44"/>
      <c r="AS44">
        <v>3202575596</v>
      </c>
      <c r="AT44" t="s">
        <v>1189</v>
      </c>
      <c r="AU44" t="s">
        <v>1177</v>
      </c>
      <c r="AV44" t="s">
        <v>749</v>
      </c>
      <c r="AW44" t="s">
        <v>854</v>
      </c>
      <c r="AX44" t="s">
        <v>855</v>
      </c>
      <c r="AY44" t="s">
        <v>54</v>
      </c>
      <c r="AZ44" s="576">
        <v>56301</v>
      </c>
      <c r="BA44" t="s">
        <v>749</v>
      </c>
      <c r="BB44"/>
      <c r="BC44"/>
      <c r="BD44"/>
      <c r="BE44"/>
      <c r="BF44"/>
      <c r="BG44"/>
      <c r="BH44"/>
      <c r="BI44"/>
      <c r="BJ44"/>
      <c r="BK44"/>
      <c r="BL44"/>
      <c r="BM44"/>
      <c r="BN44"/>
      <c r="BO44"/>
      <c r="BP44"/>
      <c r="BQ44" t="s">
        <v>1170</v>
      </c>
      <c r="BR44" t="s">
        <v>1171</v>
      </c>
      <c r="BS44" t="s">
        <v>1190</v>
      </c>
      <c r="BT44" t="s">
        <v>1176</v>
      </c>
      <c r="BU44">
        <v>3202512700</v>
      </c>
      <c r="BV44">
        <v>54401</v>
      </c>
      <c r="BW44"/>
      <c r="BX44" t="s">
        <v>1174</v>
      </c>
      <c r="BY44" t="s">
        <v>1177</v>
      </c>
      <c r="BZ44" t="s">
        <v>749</v>
      </c>
      <c r="CA44" t="s">
        <v>854</v>
      </c>
      <c r="CB44" t="s">
        <v>855</v>
      </c>
      <c r="CC44" t="s">
        <v>54</v>
      </c>
      <c r="CD44" s="576">
        <v>56301</v>
      </c>
      <c r="CE44" t="s">
        <v>749</v>
      </c>
      <c r="CF44" t="s">
        <v>1191</v>
      </c>
      <c r="CG44" t="s">
        <v>1176</v>
      </c>
      <c r="CH44" t="s">
        <v>141</v>
      </c>
      <c r="CI44" t="s">
        <v>1192</v>
      </c>
      <c r="CJ44" t="s">
        <v>142</v>
      </c>
      <c r="CK44"/>
      <c r="CL44"/>
      <c r="CM44">
        <v>1457967234</v>
      </c>
      <c r="CN44">
        <v>123</v>
      </c>
      <c r="CO44">
        <v>771</v>
      </c>
      <c r="CP44">
        <v>788</v>
      </c>
      <c r="CQ44"/>
      <c r="CR44">
        <v>2859</v>
      </c>
      <c r="CS44" t="s">
        <v>788</v>
      </c>
      <c r="CT44">
        <v>12</v>
      </c>
      <c r="CU44"/>
      <c r="CV44"/>
      <c r="CW44"/>
      <c r="CX44" t="s">
        <v>749</v>
      </c>
      <c r="CY44"/>
      <c r="CZ44" t="s">
        <v>749</v>
      </c>
      <c r="DA44" t="s">
        <v>749</v>
      </c>
      <c r="DB44" t="s">
        <v>749</v>
      </c>
      <c r="DC44" t="s">
        <v>749</v>
      </c>
      <c r="DD44">
        <v>128</v>
      </c>
      <c r="DE44" t="s">
        <v>795</v>
      </c>
      <c r="DF44"/>
      <c r="DG44"/>
      <c r="DH44">
        <v>129</v>
      </c>
      <c r="DI44" t="s">
        <v>1193</v>
      </c>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v>207</v>
      </c>
      <c r="ES44">
        <v>218</v>
      </c>
      <c r="ET44"/>
      <c r="EU44"/>
      <c r="EV44" s="439">
        <v>1346</v>
      </c>
      <c r="EW44" t="s">
        <v>2389</v>
      </c>
      <c r="EX44" t="s">
        <v>2130</v>
      </c>
      <c r="EY44" t="s">
        <v>2390</v>
      </c>
      <c r="EZ44" t="s">
        <v>54</v>
      </c>
      <c r="FA44">
        <v>56601</v>
      </c>
      <c r="FB44">
        <v>1679528194</v>
      </c>
    </row>
    <row r="45" spans="1:158" s="435" customFormat="1" x14ac:dyDescent="0.2">
      <c r="A45" s="439">
        <v>1420</v>
      </c>
      <c r="B45" t="s">
        <v>1194</v>
      </c>
      <c r="C45" t="s">
        <v>1195</v>
      </c>
      <c r="D45" t="s">
        <v>1196</v>
      </c>
      <c r="E45" t="s">
        <v>749</v>
      </c>
      <c r="F45" t="s">
        <v>1197</v>
      </c>
      <c r="G45" t="s">
        <v>54</v>
      </c>
      <c r="H45" s="576">
        <v>56353</v>
      </c>
      <c r="I45" t="s">
        <v>749</v>
      </c>
      <c r="J45" t="s">
        <v>1198</v>
      </c>
      <c r="K45"/>
      <c r="L45" t="s">
        <v>1195</v>
      </c>
      <c r="M45" t="s">
        <v>1197</v>
      </c>
      <c r="N45" t="s">
        <v>54</v>
      </c>
      <c r="O45" s="576">
        <v>56353</v>
      </c>
      <c r="P45"/>
      <c r="Q45">
        <v>3209836300</v>
      </c>
      <c r="R45">
        <v>3209836345</v>
      </c>
      <c r="S45" t="s">
        <v>1199</v>
      </c>
      <c r="T45" t="s">
        <v>1200</v>
      </c>
      <c r="U45" t="s">
        <v>1201</v>
      </c>
      <c r="V45" t="s">
        <v>1202</v>
      </c>
      <c r="W45" t="s">
        <v>749</v>
      </c>
      <c r="X45" t="s">
        <v>1203</v>
      </c>
      <c r="Y45" t="s">
        <v>1204</v>
      </c>
      <c r="Z45" t="s">
        <v>1205</v>
      </c>
      <c r="AA45" t="s">
        <v>1206</v>
      </c>
      <c r="AB45">
        <v>3209836325</v>
      </c>
      <c r="AC45"/>
      <c r="AD45">
        <v>3209836345</v>
      </c>
      <c r="AE45" t="s">
        <v>1207</v>
      </c>
      <c r="AF45" t="s">
        <v>1208</v>
      </c>
      <c r="AG45"/>
      <c r="AH45" t="s">
        <v>1195</v>
      </c>
      <c r="AI45" t="s">
        <v>1197</v>
      </c>
      <c r="AJ45" t="s">
        <v>54</v>
      </c>
      <c r="AK45" s="576">
        <v>56353</v>
      </c>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t="s">
        <v>1209</v>
      </c>
      <c r="CG45" t="s">
        <v>1210</v>
      </c>
      <c r="CH45" t="s">
        <v>749</v>
      </c>
      <c r="CI45"/>
      <c r="CJ45"/>
      <c r="CK45"/>
      <c r="CL45"/>
      <c r="CM45"/>
      <c r="CN45">
        <v>250</v>
      </c>
      <c r="CO45">
        <v>255</v>
      </c>
      <c r="CP45"/>
      <c r="CQ45"/>
      <c r="CR45"/>
      <c r="CS45" t="s">
        <v>788</v>
      </c>
      <c r="CT45">
        <v>12</v>
      </c>
      <c r="CU45"/>
      <c r="CV45"/>
      <c r="CW45"/>
      <c r="CX45" t="s">
        <v>749</v>
      </c>
      <c r="CY45"/>
      <c r="CZ45" t="s">
        <v>749</v>
      </c>
      <c r="DA45" t="s">
        <v>749</v>
      </c>
      <c r="DB45" t="s">
        <v>749</v>
      </c>
      <c r="DC45" t="s">
        <v>749</v>
      </c>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v>96</v>
      </c>
      <c r="ES45"/>
      <c r="ET45"/>
      <c r="EU45"/>
      <c r="EV45" s="439">
        <v>762</v>
      </c>
      <c r="EW45" t="s">
        <v>2414</v>
      </c>
      <c r="EX45" t="s">
        <v>2130</v>
      </c>
      <c r="EY45" t="s">
        <v>2390</v>
      </c>
      <c r="EZ45" t="s">
        <v>54</v>
      </c>
      <c r="FA45">
        <v>56601</v>
      </c>
      <c r="FB45">
        <v>1679528194</v>
      </c>
    </row>
    <row r="46" spans="1:158" s="435" customFormat="1" x14ac:dyDescent="0.2">
      <c r="A46" s="439">
        <v>867</v>
      </c>
      <c r="B46" t="s">
        <v>1211</v>
      </c>
      <c r="C46" t="s">
        <v>1195</v>
      </c>
      <c r="D46" t="s">
        <v>1196</v>
      </c>
      <c r="E46"/>
      <c r="F46" t="s">
        <v>1197</v>
      </c>
      <c r="G46" t="s">
        <v>54</v>
      </c>
      <c r="H46" s="576">
        <v>56353</v>
      </c>
      <c r="I46"/>
      <c r="J46" t="s">
        <v>1198</v>
      </c>
      <c r="K46"/>
      <c r="L46" t="s">
        <v>1195</v>
      </c>
      <c r="M46" t="s">
        <v>1197</v>
      </c>
      <c r="N46" t="s">
        <v>54</v>
      </c>
      <c r="O46" s="576">
        <v>56353</v>
      </c>
      <c r="P46"/>
      <c r="Q46">
        <v>3209836300</v>
      </c>
      <c r="R46">
        <v>3209836345</v>
      </c>
      <c r="S46" t="s">
        <v>1199</v>
      </c>
      <c r="T46" t="s">
        <v>1200</v>
      </c>
      <c r="U46" t="s">
        <v>1201</v>
      </c>
      <c r="V46" t="s">
        <v>1202</v>
      </c>
      <c r="W46"/>
      <c r="X46" t="s">
        <v>1203</v>
      </c>
      <c r="Y46" t="s">
        <v>1204</v>
      </c>
      <c r="Z46" t="s">
        <v>1205</v>
      </c>
      <c r="AA46" t="s">
        <v>1206</v>
      </c>
      <c r="AB46">
        <v>3209836325</v>
      </c>
      <c r="AC46"/>
      <c r="AD46">
        <v>3209836345</v>
      </c>
      <c r="AE46" t="s">
        <v>1207</v>
      </c>
      <c r="AF46" t="s">
        <v>1208</v>
      </c>
      <c r="AG46"/>
      <c r="AH46" t="s">
        <v>1195</v>
      </c>
      <c r="AI46" t="s">
        <v>1197</v>
      </c>
      <c r="AJ46" t="s">
        <v>54</v>
      </c>
      <c r="AK46" s="576">
        <v>56353</v>
      </c>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t="s">
        <v>1209</v>
      </c>
      <c r="CG46" t="s">
        <v>1210</v>
      </c>
      <c r="CH46"/>
      <c r="CI46"/>
      <c r="CJ46"/>
      <c r="CK46"/>
      <c r="CL46"/>
      <c r="CM46"/>
      <c r="CN46">
        <v>250</v>
      </c>
      <c r="CO46">
        <v>255</v>
      </c>
      <c r="CP46"/>
      <c r="CQ46"/>
      <c r="CR46"/>
      <c r="CS46" t="s">
        <v>788</v>
      </c>
      <c r="CT46">
        <v>12</v>
      </c>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v>96</v>
      </c>
      <c r="ES46"/>
      <c r="ET46"/>
      <c r="EU46"/>
      <c r="EV46" s="439">
        <v>153</v>
      </c>
      <c r="EW46" t="s">
        <v>2764</v>
      </c>
      <c r="EX46" t="s">
        <v>1376</v>
      </c>
      <c r="EY46" t="s">
        <v>1377</v>
      </c>
      <c r="EZ46" t="s">
        <v>54</v>
      </c>
      <c r="FA46">
        <v>56215</v>
      </c>
      <c r="FB46">
        <v>1174529002</v>
      </c>
    </row>
    <row r="47" spans="1:158" s="435" customFormat="1" x14ac:dyDescent="0.2">
      <c r="A47" s="439">
        <v>865</v>
      </c>
      <c r="B47" t="s">
        <v>1212</v>
      </c>
      <c r="C47" t="s">
        <v>1195</v>
      </c>
      <c r="D47" t="s">
        <v>1196</v>
      </c>
      <c r="E47"/>
      <c r="F47" t="s">
        <v>1197</v>
      </c>
      <c r="G47" t="s">
        <v>54</v>
      </c>
      <c r="H47" s="576">
        <v>56353</v>
      </c>
      <c r="I47"/>
      <c r="J47" t="s">
        <v>1198</v>
      </c>
      <c r="K47"/>
      <c r="L47" t="s">
        <v>1195</v>
      </c>
      <c r="M47" t="s">
        <v>1197</v>
      </c>
      <c r="N47" t="s">
        <v>54</v>
      </c>
      <c r="O47" s="576">
        <v>56353</v>
      </c>
      <c r="P47"/>
      <c r="Q47">
        <v>3209836300</v>
      </c>
      <c r="R47">
        <v>3209836345</v>
      </c>
      <c r="S47" t="s">
        <v>1199</v>
      </c>
      <c r="T47" t="s">
        <v>1200</v>
      </c>
      <c r="U47" t="s">
        <v>1201</v>
      </c>
      <c r="V47" t="s">
        <v>1202</v>
      </c>
      <c r="W47"/>
      <c r="X47" t="s">
        <v>1203</v>
      </c>
      <c r="Y47" t="s">
        <v>1204</v>
      </c>
      <c r="Z47" t="s">
        <v>1205</v>
      </c>
      <c r="AA47" t="s">
        <v>1206</v>
      </c>
      <c r="AB47">
        <v>3209836325</v>
      </c>
      <c r="AC47"/>
      <c r="AD47">
        <v>3209836345</v>
      </c>
      <c r="AE47" t="s">
        <v>1207</v>
      </c>
      <c r="AF47" t="s">
        <v>1208</v>
      </c>
      <c r="AG47"/>
      <c r="AH47" t="s">
        <v>1195</v>
      </c>
      <c r="AI47" t="s">
        <v>1197</v>
      </c>
      <c r="AJ47" t="s">
        <v>54</v>
      </c>
      <c r="AK47" s="576">
        <v>56353</v>
      </c>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t="s">
        <v>1209</v>
      </c>
      <c r="CG47" t="s">
        <v>1210</v>
      </c>
      <c r="CH47"/>
      <c r="CI47"/>
      <c r="CJ47"/>
      <c r="CK47"/>
      <c r="CL47"/>
      <c r="CM47"/>
      <c r="CN47">
        <v>250</v>
      </c>
      <c r="CO47">
        <v>255</v>
      </c>
      <c r="CP47"/>
      <c r="CQ47"/>
      <c r="CR47"/>
      <c r="CS47" t="s">
        <v>788</v>
      </c>
      <c r="CT47">
        <v>12</v>
      </c>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v>96</v>
      </c>
      <c r="ES47"/>
      <c r="ET47"/>
      <c r="EU47"/>
      <c r="EV47" s="439">
        <v>831</v>
      </c>
      <c r="EW47" t="s">
        <v>1375</v>
      </c>
      <c r="EX47" t="s">
        <v>1376</v>
      </c>
      <c r="EY47" t="s">
        <v>1377</v>
      </c>
      <c r="EZ47" t="s">
        <v>54</v>
      </c>
      <c r="FA47">
        <v>56215</v>
      </c>
      <c r="FB47"/>
    </row>
    <row r="48" spans="1:158" s="435" customFormat="1" x14ac:dyDescent="0.2">
      <c r="A48" s="439">
        <v>993</v>
      </c>
      <c r="B48" t="s">
        <v>1213</v>
      </c>
      <c r="C48" t="s">
        <v>1214</v>
      </c>
      <c r="D48" t="s">
        <v>1215</v>
      </c>
      <c r="E48"/>
      <c r="F48" t="s">
        <v>1216</v>
      </c>
      <c r="G48" t="s">
        <v>54</v>
      </c>
      <c r="H48" s="576">
        <v>56208</v>
      </c>
      <c r="I48"/>
      <c r="J48" t="s">
        <v>1198</v>
      </c>
      <c r="K48"/>
      <c r="L48" t="s">
        <v>1195</v>
      </c>
      <c r="M48" t="s">
        <v>1197</v>
      </c>
      <c r="N48" t="s">
        <v>54</v>
      </c>
      <c r="O48" s="576">
        <v>56353</v>
      </c>
      <c r="P48"/>
      <c r="Q48">
        <v>3209836300</v>
      </c>
      <c r="R48">
        <v>3209836345</v>
      </c>
      <c r="S48" t="s">
        <v>1199</v>
      </c>
      <c r="T48" t="s">
        <v>1200</v>
      </c>
      <c r="U48" t="s">
        <v>1201</v>
      </c>
      <c r="V48" t="s">
        <v>1202</v>
      </c>
      <c r="W48"/>
      <c r="X48" t="s">
        <v>1203</v>
      </c>
      <c r="Y48" t="s">
        <v>1204</v>
      </c>
      <c r="Z48" t="s">
        <v>1205</v>
      </c>
      <c r="AA48" t="s">
        <v>1206</v>
      </c>
      <c r="AB48">
        <v>3209836325</v>
      </c>
      <c r="AC48"/>
      <c r="AD48">
        <v>3209836345</v>
      </c>
      <c r="AE48" t="s">
        <v>1207</v>
      </c>
      <c r="AF48" t="s">
        <v>1208</v>
      </c>
      <c r="AG48"/>
      <c r="AH48" t="s">
        <v>1195</v>
      </c>
      <c r="AI48" t="s">
        <v>1197</v>
      </c>
      <c r="AJ48" t="s">
        <v>54</v>
      </c>
      <c r="AK48" s="576">
        <v>56353</v>
      </c>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t="s">
        <v>1209</v>
      </c>
      <c r="CG48" t="s">
        <v>1210</v>
      </c>
      <c r="CH48"/>
      <c r="CI48"/>
      <c r="CJ48"/>
      <c r="CK48"/>
      <c r="CL48"/>
      <c r="CM48"/>
      <c r="CN48">
        <v>250</v>
      </c>
      <c r="CO48">
        <v>255</v>
      </c>
      <c r="CP48"/>
      <c r="CQ48"/>
      <c r="CR48"/>
      <c r="CS48" t="s">
        <v>788</v>
      </c>
      <c r="CT48">
        <v>12</v>
      </c>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v>96</v>
      </c>
      <c r="ES48"/>
      <c r="ET48"/>
      <c r="EU48"/>
      <c r="EV48" s="439">
        <v>104</v>
      </c>
      <c r="EW48" t="s">
        <v>2765</v>
      </c>
      <c r="EX48" t="s">
        <v>1222</v>
      </c>
      <c r="EY48" t="s">
        <v>1223</v>
      </c>
      <c r="EZ48" t="s">
        <v>54</v>
      </c>
      <c r="FA48">
        <v>56628</v>
      </c>
      <c r="FB48">
        <v>1851335525</v>
      </c>
    </row>
    <row r="49" spans="1:158" s="435" customFormat="1" x14ac:dyDescent="0.2">
      <c r="A49" s="439">
        <v>1204</v>
      </c>
      <c r="B49" t="s">
        <v>1217</v>
      </c>
      <c r="C49" t="s">
        <v>1218</v>
      </c>
      <c r="D49" t="s">
        <v>1219</v>
      </c>
      <c r="E49"/>
      <c r="F49" t="s">
        <v>1220</v>
      </c>
      <c r="G49" t="s">
        <v>54</v>
      </c>
      <c r="H49" s="576">
        <v>56241</v>
      </c>
      <c r="I49" s="576">
        <v>1442</v>
      </c>
      <c r="J49" t="s">
        <v>1198</v>
      </c>
      <c r="K49"/>
      <c r="L49" t="s">
        <v>1195</v>
      </c>
      <c r="M49" t="s">
        <v>1197</v>
      </c>
      <c r="N49" t="s">
        <v>54</v>
      </c>
      <c r="O49" s="576">
        <v>56353</v>
      </c>
      <c r="P49"/>
      <c r="Q49">
        <v>3209836300</v>
      </c>
      <c r="R49">
        <v>3209836345</v>
      </c>
      <c r="S49" t="s">
        <v>1199</v>
      </c>
      <c r="T49" t="s">
        <v>1200</v>
      </c>
      <c r="U49" t="s">
        <v>1201</v>
      </c>
      <c r="V49" t="s">
        <v>1202</v>
      </c>
      <c r="W49"/>
      <c r="X49" t="s">
        <v>1203</v>
      </c>
      <c r="Y49" t="s">
        <v>1204</v>
      </c>
      <c r="Z49" t="s">
        <v>1205</v>
      </c>
      <c r="AA49" t="s">
        <v>1206</v>
      </c>
      <c r="AB49">
        <v>3209836325</v>
      </c>
      <c r="AC49"/>
      <c r="AD49">
        <v>3209836345</v>
      </c>
      <c r="AE49" t="s">
        <v>1207</v>
      </c>
      <c r="AF49" t="s">
        <v>1208</v>
      </c>
      <c r="AG49"/>
      <c r="AH49" t="s">
        <v>1195</v>
      </c>
      <c r="AI49" t="s">
        <v>1197</v>
      </c>
      <c r="AJ49" t="s">
        <v>54</v>
      </c>
      <c r="AK49" s="576">
        <v>56353</v>
      </c>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t="s">
        <v>1209</v>
      </c>
      <c r="CG49" t="s">
        <v>1210</v>
      </c>
      <c r="CH49"/>
      <c r="CI49"/>
      <c r="CJ49"/>
      <c r="CK49"/>
      <c r="CL49"/>
      <c r="CM49"/>
      <c r="CN49">
        <v>250</v>
      </c>
      <c r="CO49">
        <v>255</v>
      </c>
      <c r="CP49"/>
      <c r="CQ49"/>
      <c r="CR49"/>
      <c r="CS49" t="s">
        <v>788</v>
      </c>
      <c r="CT49">
        <v>12</v>
      </c>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v>96</v>
      </c>
      <c r="ES49"/>
      <c r="ET49"/>
      <c r="EU49"/>
      <c r="EV49" s="439">
        <v>832</v>
      </c>
      <c r="EW49" t="s">
        <v>1221</v>
      </c>
      <c r="EX49" t="s">
        <v>1222</v>
      </c>
      <c r="EY49" t="s">
        <v>1223</v>
      </c>
      <c r="EZ49" t="s">
        <v>54</v>
      </c>
      <c r="FA49">
        <v>56628</v>
      </c>
      <c r="FB49"/>
    </row>
    <row r="50" spans="1:158" s="435" customFormat="1" x14ac:dyDescent="0.2">
      <c r="A50" s="439">
        <v>832</v>
      </c>
      <c r="B50" t="s">
        <v>1221</v>
      </c>
      <c r="C50" t="s">
        <v>1222</v>
      </c>
      <c r="D50" t="s">
        <v>1223</v>
      </c>
      <c r="E50"/>
      <c r="F50" t="s">
        <v>1224</v>
      </c>
      <c r="G50" t="s">
        <v>54</v>
      </c>
      <c r="H50" s="576">
        <v>56628</v>
      </c>
      <c r="I50"/>
      <c r="J50" t="s">
        <v>1198</v>
      </c>
      <c r="K50"/>
      <c r="L50" t="s">
        <v>1195</v>
      </c>
      <c r="M50" t="s">
        <v>1197</v>
      </c>
      <c r="N50" t="s">
        <v>54</v>
      </c>
      <c r="O50" s="576">
        <v>56353</v>
      </c>
      <c r="P50"/>
      <c r="Q50">
        <v>3209836300</v>
      </c>
      <c r="R50">
        <v>3209836345</v>
      </c>
      <c r="S50" t="s">
        <v>1199</v>
      </c>
      <c r="T50" t="s">
        <v>1200</v>
      </c>
      <c r="U50" t="s">
        <v>1201</v>
      </c>
      <c r="V50" t="s">
        <v>1202</v>
      </c>
      <c r="W50"/>
      <c r="X50" t="s">
        <v>1203</v>
      </c>
      <c r="Y50" t="s">
        <v>1204</v>
      </c>
      <c r="Z50" t="s">
        <v>1205</v>
      </c>
      <c r="AA50" t="s">
        <v>1206</v>
      </c>
      <c r="AB50">
        <v>3209836325</v>
      </c>
      <c r="AC50"/>
      <c r="AD50">
        <v>3209836345</v>
      </c>
      <c r="AE50" t="s">
        <v>1207</v>
      </c>
      <c r="AF50" t="s">
        <v>1208</v>
      </c>
      <c r="AG50"/>
      <c r="AH50" t="s">
        <v>1195</v>
      </c>
      <c r="AI50" t="s">
        <v>1197</v>
      </c>
      <c r="AJ50" t="s">
        <v>54</v>
      </c>
      <c r="AK50" s="576">
        <v>56353</v>
      </c>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t="s">
        <v>1209</v>
      </c>
      <c r="CG50" t="s">
        <v>1210</v>
      </c>
      <c r="CH50"/>
      <c r="CI50"/>
      <c r="CJ50"/>
      <c r="CK50"/>
      <c r="CL50"/>
      <c r="CM50"/>
      <c r="CN50">
        <v>250</v>
      </c>
      <c r="CO50">
        <v>255</v>
      </c>
      <c r="CP50"/>
      <c r="CQ50"/>
      <c r="CR50"/>
      <c r="CS50" t="s">
        <v>788</v>
      </c>
      <c r="CT50">
        <v>12</v>
      </c>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v>96</v>
      </c>
      <c r="ES50"/>
      <c r="ET50"/>
      <c r="EU50"/>
      <c r="EV50" s="439">
        <v>1430</v>
      </c>
      <c r="EW50" t="s">
        <v>797</v>
      </c>
      <c r="EX50" t="s">
        <v>798</v>
      </c>
      <c r="EY50" t="s">
        <v>799</v>
      </c>
      <c r="EZ50" t="s">
        <v>54</v>
      </c>
      <c r="FA50">
        <v>55449</v>
      </c>
      <c r="FB50">
        <v>1881168441</v>
      </c>
    </row>
    <row r="51" spans="1:158" s="435" customFormat="1" x14ac:dyDescent="0.2">
      <c r="A51" s="439">
        <v>855</v>
      </c>
      <c r="B51" t="s">
        <v>1225</v>
      </c>
      <c r="C51" t="s">
        <v>1226</v>
      </c>
      <c r="D51" t="s">
        <v>1227</v>
      </c>
      <c r="E51"/>
      <c r="F51" t="s">
        <v>1228</v>
      </c>
      <c r="G51" t="s">
        <v>54</v>
      </c>
      <c r="H51" s="576">
        <v>56283</v>
      </c>
      <c r="I51"/>
      <c r="J51" t="s">
        <v>1198</v>
      </c>
      <c r="K51"/>
      <c r="L51" t="s">
        <v>1195</v>
      </c>
      <c r="M51" t="s">
        <v>1197</v>
      </c>
      <c r="N51" t="s">
        <v>54</v>
      </c>
      <c r="O51" s="576">
        <v>56353</v>
      </c>
      <c r="P51"/>
      <c r="Q51">
        <v>3209836300</v>
      </c>
      <c r="R51">
        <v>3209836345</v>
      </c>
      <c r="S51" t="s">
        <v>1199</v>
      </c>
      <c r="T51" t="s">
        <v>1200</v>
      </c>
      <c r="U51" t="s">
        <v>1201</v>
      </c>
      <c r="V51" t="s">
        <v>1202</v>
      </c>
      <c r="W51"/>
      <c r="X51" t="s">
        <v>1203</v>
      </c>
      <c r="Y51" t="s">
        <v>1204</v>
      </c>
      <c r="Z51" t="s">
        <v>1205</v>
      </c>
      <c r="AA51" t="s">
        <v>1206</v>
      </c>
      <c r="AB51">
        <v>3209836325</v>
      </c>
      <c r="AC51"/>
      <c r="AD51">
        <v>3209836345</v>
      </c>
      <c r="AE51" t="s">
        <v>1207</v>
      </c>
      <c r="AF51" t="s">
        <v>1208</v>
      </c>
      <c r="AG51"/>
      <c r="AH51" t="s">
        <v>1195</v>
      </c>
      <c r="AI51" t="s">
        <v>1197</v>
      </c>
      <c r="AJ51" t="s">
        <v>54</v>
      </c>
      <c r="AK51" s="576">
        <v>56353</v>
      </c>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t="s">
        <v>1209</v>
      </c>
      <c r="CG51" t="s">
        <v>1210</v>
      </c>
      <c r="CH51"/>
      <c r="CI51"/>
      <c r="CJ51"/>
      <c r="CK51"/>
      <c r="CL51"/>
      <c r="CM51"/>
      <c r="CN51">
        <v>250</v>
      </c>
      <c r="CO51">
        <v>255</v>
      </c>
      <c r="CP51"/>
      <c r="CQ51"/>
      <c r="CR51"/>
      <c r="CS51" t="s">
        <v>788</v>
      </c>
      <c r="CT51">
        <v>12</v>
      </c>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v>96</v>
      </c>
      <c r="ES51"/>
      <c r="ET51"/>
      <c r="EU51"/>
      <c r="EV51" s="439">
        <v>405</v>
      </c>
      <c r="EW51" t="s">
        <v>2766</v>
      </c>
      <c r="EX51" t="s">
        <v>798</v>
      </c>
      <c r="EY51" t="s">
        <v>2596</v>
      </c>
      <c r="EZ51" t="s">
        <v>54</v>
      </c>
      <c r="FA51">
        <v>55434</v>
      </c>
      <c r="FB51">
        <v>1922526961</v>
      </c>
    </row>
    <row r="52" spans="1:158" s="435" customFormat="1" x14ac:dyDescent="0.2">
      <c r="A52" s="439">
        <v>1135</v>
      </c>
      <c r="B52" t="s">
        <v>1229</v>
      </c>
      <c r="C52" t="s">
        <v>1230</v>
      </c>
      <c r="D52" t="s">
        <v>1231</v>
      </c>
      <c r="E52"/>
      <c r="F52" t="s">
        <v>1232</v>
      </c>
      <c r="G52" t="s">
        <v>54</v>
      </c>
      <c r="H52" s="576">
        <v>56265</v>
      </c>
      <c r="I52"/>
      <c r="J52" t="s">
        <v>1198</v>
      </c>
      <c r="K52"/>
      <c r="L52" t="s">
        <v>1195</v>
      </c>
      <c r="M52" t="s">
        <v>1197</v>
      </c>
      <c r="N52" t="s">
        <v>54</v>
      </c>
      <c r="O52" s="576">
        <v>56353</v>
      </c>
      <c r="P52"/>
      <c r="Q52">
        <v>3209836300</v>
      </c>
      <c r="R52">
        <v>3209836345</v>
      </c>
      <c r="S52" t="s">
        <v>1199</v>
      </c>
      <c r="T52" t="s">
        <v>1200</v>
      </c>
      <c r="U52" t="s">
        <v>1201</v>
      </c>
      <c r="V52" t="s">
        <v>1202</v>
      </c>
      <c r="W52"/>
      <c r="X52" t="s">
        <v>1203</v>
      </c>
      <c r="Y52" t="s">
        <v>1204</v>
      </c>
      <c r="Z52" t="s">
        <v>1205</v>
      </c>
      <c r="AA52" t="s">
        <v>1206</v>
      </c>
      <c r="AB52">
        <v>3209836325</v>
      </c>
      <c r="AC52"/>
      <c r="AD52">
        <v>3209836345</v>
      </c>
      <c r="AE52" t="s">
        <v>1207</v>
      </c>
      <c r="AF52" t="s">
        <v>1208</v>
      </c>
      <c r="AG52"/>
      <c r="AH52" t="s">
        <v>1195</v>
      </c>
      <c r="AI52" t="s">
        <v>1197</v>
      </c>
      <c r="AJ52" t="s">
        <v>54</v>
      </c>
      <c r="AK52" s="576">
        <v>56353</v>
      </c>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t="s">
        <v>1209</v>
      </c>
      <c r="CG52" t="s">
        <v>1210</v>
      </c>
      <c r="CH52"/>
      <c r="CI52"/>
      <c r="CJ52"/>
      <c r="CK52"/>
      <c r="CL52"/>
      <c r="CM52"/>
      <c r="CN52">
        <v>250</v>
      </c>
      <c r="CO52">
        <v>255</v>
      </c>
      <c r="CP52"/>
      <c r="CQ52"/>
      <c r="CR52"/>
      <c r="CS52" t="s">
        <v>788</v>
      </c>
      <c r="CT52">
        <v>12</v>
      </c>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v>96</v>
      </c>
      <c r="ES52"/>
      <c r="ET52"/>
      <c r="EU52"/>
      <c r="EV52" s="439">
        <v>1057</v>
      </c>
      <c r="EW52" t="s">
        <v>1099</v>
      </c>
      <c r="EX52" t="s">
        <v>798</v>
      </c>
      <c r="EY52" t="s">
        <v>1100</v>
      </c>
      <c r="EZ52" t="s">
        <v>54</v>
      </c>
      <c r="FA52">
        <v>55449</v>
      </c>
      <c r="FB52">
        <v>1659348092</v>
      </c>
    </row>
    <row r="53" spans="1:158" s="435" customFormat="1" x14ac:dyDescent="0.2">
      <c r="A53" s="439">
        <v>844</v>
      </c>
      <c r="B53" t="s">
        <v>1233</v>
      </c>
      <c r="C53" t="s">
        <v>1234</v>
      </c>
      <c r="D53" t="s">
        <v>1235</v>
      </c>
      <c r="E53"/>
      <c r="F53" t="s">
        <v>1236</v>
      </c>
      <c r="G53" t="s">
        <v>54</v>
      </c>
      <c r="H53" s="576">
        <v>56347</v>
      </c>
      <c r="I53"/>
      <c r="J53" t="s">
        <v>1198</v>
      </c>
      <c r="K53"/>
      <c r="L53" t="s">
        <v>1195</v>
      </c>
      <c r="M53" t="s">
        <v>1197</v>
      </c>
      <c r="N53" t="s">
        <v>54</v>
      </c>
      <c r="O53" s="576">
        <v>56353</v>
      </c>
      <c r="P53"/>
      <c r="Q53">
        <v>3209836300</v>
      </c>
      <c r="R53">
        <v>3209836345</v>
      </c>
      <c r="S53" t="s">
        <v>1199</v>
      </c>
      <c r="T53" t="s">
        <v>1200</v>
      </c>
      <c r="U53" t="s">
        <v>1201</v>
      </c>
      <c r="V53" t="s">
        <v>1202</v>
      </c>
      <c r="W53"/>
      <c r="X53" t="s">
        <v>1203</v>
      </c>
      <c r="Y53" t="s">
        <v>1204</v>
      </c>
      <c r="Z53" t="s">
        <v>1205</v>
      </c>
      <c r="AA53" t="s">
        <v>1206</v>
      </c>
      <c r="AB53">
        <v>3209836325</v>
      </c>
      <c r="AC53"/>
      <c r="AD53">
        <v>3209836345</v>
      </c>
      <c r="AE53" t="s">
        <v>1207</v>
      </c>
      <c r="AF53" t="s">
        <v>1208</v>
      </c>
      <c r="AG53"/>
      <c r="AH53" t="s">
        <v>1195</v>
      </c>
      <c r="AI53" t="s">
        <v>1197</v>
      </c>
      <c r="AJ53" t="s">
        <v>54</v>
      </c>
      <c r="AK53" s="576">
        <v>56353</v>
      </c>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t="s">
        <v>1209</v>
      </c>
      <c r="CG53" t="s">
        <v>1210</v>
      </c>
      <c r="CH53"/>
      <c r="CI53"/>
      <c r="CJ53"/>
      <c r="CK53"/>
      <c r="CL53"/>
      <c r="CM53"/>
      <c r="CN53">
        <v>250</v>
      </c>
      <c r="CO53">
        <v>255</v>
      </c>
      <c r="CP53"/>
      <c r="CQ53"/>
      <c r="CR53"/>
      <c r="CS53" t="s">
        <v>788</v>
      </c>
      <c r="CT53">
        <v>12</v>
      </c>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v>96</v>
      </c>
      <c r="ES53"/>
      <c r="ET53"/>
      <c r="EU53"/>
      <c r="EV53" s="439">
        <v>666</v>
      </c>
      <c r="EW53" t="s">
        <v>1626</v>
      </c>
      <c r="EX53" t="s">
        <v>798</v>
      </c>
      <c r="EY53" t="s">
        <v>1627</v>
      </c>
      <c r="EZ53" t="s">
        <v>54</v>
      </c>
      <c r="FA53">
        <v>55449</v>
      </c>
      <c r="FB53">
        <v>1972784205</v>
      </c>
    </row>
    <row r="54" spans="1:158" s="435" customFormat="1" x14ac:dyDescent="0.2">
      <c r="A54" s="439">
        <v>846</v>
      </c>
      <c r="B54" t="s">
        <v>1237</v>
      </c>
      <c r="C54" t="s">
        <v>1238</v>
      </c>
      <c r="D54" t="s">
        <v>1239</v>
      </c>
      <c r="E54"/>
      <c r="F54" t="s">
        <v>855</v>
      </c>
      <c r="G54" t="s">
        <v>54</v>
      </c>
      <c r="H54" s="576">
        <v>56352</v>
      </c>
      <c r="I54"/>
      <c r="J54" t="s">
        <v>1198</v>
      </c>
      <c r="K54"/>
      <c r="L54" t="s">
        <v>1195</v>
      </c>
      <c r="M54" t="s">
        <v>1197</v>
      </c>
      <c r="N54" t="s">
        <v>54</v>
      </c>
      <c r="O54" s="576">
        <v>56353</v>
      </c>
      <c r="P54"/>
      <c r="Q54">
        <v>3209836300</v>
      </c>
      <c r="R54">
        <v>3209836345</v>
      </c>
      <c r="S54" t="s">
        <v>1199</v>
      </c>
      <c r="T54" t="s">
        <v>1200</v>
      </c>
      <c r="U54" t="s">
        <v>1201</v>
      </c>
      <c r="V54" t="s">
        <v>1202</v>
      </c>
      <c r="W54"/>
      <c r="X54" t="s">
        <v>1203</v>
      </c>
      <c r="Y54" t="s">
        <v>1204</v>
      </c>
      <c r="Z54" t="s">
        <v>1205</v>
      </c>
      <c r="AA54" t="s">
        <v>1206</v>
      </c>
      <c r="AB54">
        <v>3209836325</v>
      </c>
      <c r="AC54"/>
      <c r="AD54">
        <v>3209836345</v>
      </c>
      <c r="AE54" t="s">
        <v>1207</v>
      </c>
      <c r="AF54" t="s">
        <v>1208</v>
      </c>
      <c r="AG54"/>
      <c r="AH54" t="s">
        <v>1195</v>
      </c>
      <c r="AI54" t="s">
        <v>1197</v>
      </c>
      <c r="AJ54" t="s">
        <v>54</v>
      </c>
      <c r="AK54" s="576">
        <v>56353</v>
      </c>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t="s">
        <v>1209</v>
      </c>
      <c r="CG54" t="s">
        <v>1210</v>
      </c>
      <c r="CH54"/>
      <c r="CI54"/>
      <c r="CJ54"/>
      <c r="CK54"/>
      <c r="CL54"/>
      <c r="CM54"/>
      <c r="CN54">
        <v>250</v>
      </c>
      <c r="CO54">
        <v>255</v>
      </c>
      <c r="CP54"/>
      <c r="CQ54"/>
      <c r="CR54"/>
      <c r="CS54" t="s">
        <v>788</v>
      </c>
      <c r="CT54">
        <v>12</v>
      </c>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v>96</v>
      </c>
      <c r="ES54"/>
      <c r="ET54"/>
      <c r="EU54"/>
      <c r="EV54" s="439">
        <v>372</v>
      </c>
      <c r="EW54" t="s">
        <v>2767</v>
      </c>
      <c r="EX54" t="s">
        <v>798</v>
      </c>
      <c r="EY54" t="s">
        <v>2041</v>
      </c>
      <c r="EZ54" t="s">
        <v>54</v>
      </c>
      <c r="FA54">
        <v>55434</v>
      </c>
      <c r="FB54">
        <v>1205152618</v>
      </c>
    </row>
    <row r="55" spans="1:158" s="435" customFormat="1" x14ac:dyDescent="0.2">
      <c r="A55" s="439">
        <v>848</v>
      </c>
      <c r="B55" t="s">
        <v>1240</v>
      </c>
      <c r="C55" t="s">
        <v>1241</v>
      </c>
      <c r="D55" t="s">
        <v>1242</v>
      </c>
      <c r="E55"/>
      <c r="F55" t="s">
        <v>1243</v>
      </c>
      <c r="G55" t="s">
        <v>54</v>
      </c>
      <c r="H55" s="576">
        <v>55362</v>
      </c>
      <c r="I55"/>
      <c r="J55" t="s">
        <v>1198</v>
      </c>
      <c r="K55"/>
      <c r="L55" t="s">
        <v>1195</v>
      </c>
      <c r="M55" t="s">
        <v>1197</v>
      </c>
      <c r="N55" t="s">
        <v>54</v>
      </c>
      <c r="O55" s="576">
        <v>56353</v>
      </c>
      <c r="P55"/>
      <c r="Q55">
        <v>3209836300</v>
      </c>
      <c r="R55">
        <v>3209836345</v>
      </c>
      <c r="S55" t="s">
        <v>1199</v>
      </c>
      <c r="T55" t="s">
        <v>1200</v>
      </c>
      <c r="U55" t="s">
        <v>1201</v>
      </c>
      <c r="V55" t="s">
        <v>1202</v>
      </c>
      <c r="W55"/>
      <c r="X55" t="s">
        <v>1203</v>
      </c>
      <c r="Y55" t="s">
        <v>1204</v>
      </c>
      <c r="Z55" t="s">
        <v>1205</v>
      </c>
      <c r="AA55" t="s">
        <v>1206</v>
      </c>
      <c r="AB55">
        <v>3209836325</v>
      </c>
      <c r="AC55"/>
      <c r="AD55">
        <v>3209836345</v>
      </c>
      <c r="AE55" t="s">
        <v>1207</v>
      </c>
      <c r="AF55" t="s">
        <v>1208</v>
      </c>
      <c r="AG55"/>
      <c r="AH55" t="s">
        <v>1195</v>
      </c>
      <c r="AI55" t="s">
        <v>1197</v>
      </c>
      <c r="AJ55" t="s">
        <v>54</v>
      </c>
      <c r="AK55" s="576">
        <v>56353</v>
      </c>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t="s">
        <v>1209</v>
      </c>
      <c r="CG55" t="s">
        <v>1210</v>
      </c>
      <c r="CH55"/>
      <c r="CI55"/>
      <c r="CJ55"/>
      <c r="CK55"/>
      <c r="CL55"/>
      <c r="CM55"/>
      <c r="CN55">
        <v>250</v>
      </c>
      <c r="CO55">
        <v>255</v>
      </c>
      <c r="CP55"/>
      <c r="CQ55"/>
      <c r="CR55"/>
      <c r="CS55" t="s">
        <v>788</v>
      </c>
      <c r="CT55">
        <v>12</v>
      </c>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v>96</v>
      </c>
      <c r="ES55"/>
      <c r="ET55"/>
      <c r="EU55"/>
      <c r="EV55" s="439">
        <v>543</v>
      </c>
      <c r="EW55" t="s">
        <v>2768</v>
      </c>
      <c r="EX55" t="s">
        <v>798</v>
      </c>
      <c r="EY55" t="s">
        <v>2769</v>
      </c>
      <c r="EZ55" t="s">
        <v>54</v>
      </c>
      <c r="FA55">
        <v>55449</v>
      </c>
      <c r="FB55"/>
    </row>
    <row r="56" spans="1:158" s="435" customFormat="1" x14ac:dyDescent="0.2">
      <c r="A56" s="439">
        <v>937</v>
      </c>
      <c r="B56" t="s">
        <v>1244</v>
      </c>
      <c r="C56" t="s">
        <v>1245</v>
      </c>
      <c r="D56" t="s">
        <v>1246</v>
      </c>
      <c r="E56"/>
      <c r="F56" t="s">
        <v>855</v>
      </c>
      <c r="G56" t="s">
        <v>54</v>
      </c>
      <c r="H56" s="576">
        <v>56362</v>
      </c>
      <c r="I56"/>
      <c r="J56" t="s">
        <v>1198</v>
      </c>
      <c r="K56"/>
      <c r="L56" t="s">
        <v>1195</v>
      </c>
      <c r="M56" t="s">
        <v>1197</v>
      </c>
      <c r="N56" t="s">
        <v>54</v>
      </c>
      <c r="O56" s="576">
        <v>56353</v>
      </c>
      <c r="P56"/>
      <c r="Q56">
        <v>3209836300</v>
      </c>
      <c r="R56">
        <v>3209836345</v>
      </c>
      <c r="S56" t="s">
        <v>1199</v>
      </c>
      <c r="T56" t="s">
        <v>1200</v>
      </c>
      <c r="U56" t="s">
        <v>1201</v>
      </c>
      <c r="V56" t="s">
        <v>1202</v>
      </c>
      <c r="W56"/>
      <c r="X56" t="s">
        <v>1203</v>
      </c>
      <c r="Y56" t="s">
        <v>1204</v>
      </c>
      <c r="Z56" t="s">
        <v>1205</v>
      </c>
      <c r="AA56" t="s">
        <v>1206</v>
      </c>
      <c r="AB56">
        <v>3209836325</v>
      </c>
      <c r="AC56"/>
      <c r="AD56">
        <v>3209836345</v>
      </c>
      <c r="AE56" t="s">
        <v>1207</v>
      </c>
      <c r="AF56" t="s">
        <v>1208</v>
      </c>
      <c r="AG56"/>
      <c r="AH56" t="s">
        <v>1195</v>
      </c>
      <c r="AI56" t="s">
        <v>1197</v>
      </c>
      <c r="AJ56" t="s">
        <v>54</v>
      </c>
      <c r="AK56" s="576">
        <v>56353</v>
      </c>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t="s">
        <v>1209</v>
      </c>
      <c r="CG56" t="s">
        <v>1210</v>
      </c>
      <c r="CH56"/>
      <c r="CI56"/>
      <c r="CJ56"/>
      <c r="CK56"/>
      <c r="CL56"/>
      <c r="CM56"/>
      <c r="CN56">
        <v>250</v>
      </c>
      <c r="CO56">
        <v>255</v>
      </c>
      <c r="CP56"/>
      <c r="CQ56"/>
      <c r="CR56"/>
      <c r="CS56" t="s">
        <v>788</v>
      </c>
      <c r="CT56">
        <v>12</v>
      </c>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v>96</v>
      </c>
      <c r="ES56"/>
      <c r="ET56"/>
      <c r="EU56"/>
      <c r="EV56" s="439">
        <v>748</v>
      </c>
      <c r="EW56" t="s">
        <v>2040</v>
      </c>
      <c r="EX56" t="s">
        <v>798</v>
      </c>
      <c r="EY56" t="s">
        <v>2041</v>
      </c>
      <c r="EZ56" t="s">
        <v>54</v>
      </c>
      <c r="FA56">
        <v>55434</v>
      </c>
      <c r="FB56">
        <v>1710098306</v>
      </c>
    </row>
    <row r="57" spans="1:158" s="435" customFormat="1" x14ac:dyDescent="0.2">
      <c r="A57" s="439">
        <v>857</v>
      </c>
      <c r="B57" t="s">
        <v>1247</v>
      </c>
      <c r="C57" t="s">
        <v>1248</v>
      </c>
      <c r="D57" t="s">
        <v>1249</v>
      </c>
      <c r="E57"/>
      <c r="F57" t="s">
        <v>855</v>
      </c>
      <c r="G57" t="s">
        <v>54</v>
      </c>
      <c r="H57" s="576">
        <v>56378</v>
      </c>
      <c r="I57"/>
      <c r="J57" t="s">
        <v>1198</v>
      </c>
      <c r="K57"/>
      <c r="L57" t="s">
        <v>1195</v>
      </c>
      <c r="M57" t="s">
        <v>1197</v>
      </c>
      <c r="N57" t="s">
        <v>54</v>
      </c>
      <c r="O57" s="576">
        <v>56353</v>
      </c>
      <c r="P57"/>
      <c r="Q57">
        <v>3209836300</v>
      </c>
      <c r="R57">
        <v>3209836345</v>
      </c>
      <c r="S57" t="s">
        <v>1199</v>
      </c>
      <c r="T57" t="s">
        <v>1200</v>
      </c>
      <c r="U57" t="s">
        <v>1201</v>
      </c>
      <c r="V57" t="s">
        <v>1202</v>
      </c>
      <c r="W57"/>
      <c r="X57" t="s">
        <v>1203</v>
      </c>
      <c r="Y57" t="s">
        <v>1204</v>
      </c>
      <c r="Z57" t="s">
        <v>1205</v>
      </c>
      <c r="AA57" t="s">
        <v>1206</v>
      </c>
      <c r="AB57">
        <v>3209836325</v>
      </c>
      <c r="AC57"/>
      <c r="AD57">
        <v>3209836345</v>
      </c>
      <c r="AE57" t="s">
        <v>1207</v>
      </c>
      <c r="AF57" t="s">
        <v>1208</v>
      </c>
      <c r="AG57"/>
      <c r="AH57" t="s">
        <v>1195</v>
      </c>
      <c r="AI57" t="s">
        <v>1197</v>
      </c>
      <c r="AJ57" t="s">
        <v>54</v>
      </c>
      <c r="AK57" s="576">
        <v>56353</v>
      </c>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t="s">
        <v>1209</v>
      </c>
      <c r="CG57" t="s">
        <v>1210</v>
      </c>
      <c r="CH57"/>
      <c r="CI57"/>
      <c r="CJ57"/>
      <c r="CK57"/>
      <c r="CL57"/>
      <c r="CM57"/>
      <c r="CN57">
        <v>250</v>
      </c>
      <c r="CO57">
        <v>255</v>
      </c>
      <c r="CP57"/>
      <c r="CQ57"/>
      <c r="CR57"/>
      <c r="CS57" t="s">
        <v>788</v>
      </c>
      <c r="CT57">
        <v>12</v>
      </c>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v>96</v>
      </c>
      <c r="ES57"/>
      <c r="ET57"/>
      <c r="EU57"/>
      <c r="EV57" s="439">
        <v>1458</v>
      </c>
      <c r="EW57" t="s">
        <v>2059</v>
      </c>
      <c r="EX57" t="s">
        <v>798</v>
      </c>
      <c r="EY57" t="s">
        <v>2060</v>
      </c>
      <c r="EZ57" t="s">
        <v>54</v>
      </c>
      <c r="FA57">
        <v>55449</v>
      </c>
      <c r="FB57">
        <v>1952732729</v>
      </c>
    </row>
    <row r="58" spans="1:158" s="435" customFormat="1" x14ac:dyDescent="0.2">
      <c r="A58" s="439">
        <v>958</v>
      </c>
      <c r="B58" t="s">
        <v>1250</v>
      </c>
      <c r="C58" t="s">
        <v>1251</v>
      </c>
      <c r="D58" t="s">
        <v>1252</v>
      </c>
      <c r="E58"/>
      <c r="F58" t="s">
        <v>1253</v>
      </c>
      <c r="G58" t="s">
        <v>54</v>
      </c>
      <c r="H58" s="576">
        <v>56520</v>
      </c>
      <c r="I58"/>
      <c r="J58" t="s">
        <v>1198</v>
      </c>
      <c r="K58"/>
      <c r="L58" t="s">
        <v>1195</v>
      </c>
      <c r="M58" t="s">
        <v>1197</v>
      </c>
      <c r="N58" t="s">
        <v>54</v>
      </c>
      <c r="O58" s="576">
        <v>56353</v>
      </c>
      <c r="P58"/>
      <c r="Q58">
        <v>3209836300</v>
      </c>
      <c r="R58">
        <v>3209836345</v>
      </c>
      <c r="S58" t="s">
        <v>1199</v>
      </c>
      <c r="T58" t="s">
        <v>1200</v>
      </c>
      <c r="U58" t="s">
        <v>1201</v>
      </c>
      <c r="V58" t="s">
        <v>1202</v>
      </c>
      <c r="W58"/>
      <c r="X58" t="s">
        <v>1203</v>
      </c>
      <c r="Y58" t="s">
        <v>1204</v>
      </c>
      <c r="Z58" t="s">
        <v>1205</v>
      </c>
      <c r="AA58" t="s">
        <v>1206</v>
      </c>
      <c r="AB58">
        <v>3209836325</v>
      </c>
      <c r="AC58"/>
      <c r="AD58">
        <v>3209836345</v>
      </c>
      <c r="AE58" t="s">
        <v>1207</v>
      </c>
      <c r="AF58" t="s">
        <v>1208</v>
      </c>
      <c r="AG58"/>
      <c r="AH58" t="s">
        <v>1195</v>
      </c>
      <c r="AI58" t="s">
        <v>1197</v>
      </c>
      <c r="AJ58" t="s">
        <v>54</v>
      </c>
      <c r="AK58" s="576">
        <v>56353</v>
      </c>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t="s">
        <v>1209</v>
      </c>
      <c r="CG58" t="s">
        <v>1210</v>
      </c>
      <c r="CH58"/>
      <c r="CI58"/>
      <c r="CJ58"/>
      <c r="CK58"/>
      <c r="CL58"/>
      <c r="CM58"/>
      <c r="CN58">
        <v>250</v>
      </c>
      <c r="CO58">
        <v>255</v>
      </c>
      <c r="CP58"/>
      <c r="CQ58"/>
      <c r="CR58"/>
      <c r="CS58" t="s">
        <v>788</v>
      </c>
      <c r="CT58">
        <v>12</v>
      </c>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v>96</v>
      </c>
      <c r="ES58"/>
      <c r="ET58"/>
      <c r="EU58"/>
      <c r="EV58" s="439">
        <v>371</v>
      </c>
      <c r="EW58" t="s">
        <v>2770</v>
      </c>
      <c r="EX58" t="s">
        <v>798</v>
      </c>
      <c r="EY58" t="s">
        <v>2771</v>
      </c>
      <c r="EZ58" t="s">
        <v>54</v>
      </c>
      <c r="FA58">
        <v>55434</v>
      </c>
      <c r="FB58">
        <v>1760616031</v>
      </c>
    </row>
    <row r="59" spans="1:158" s="435" customFormat="1" x14ac:dyDescent="0.2">
      <c r="A59" s="439">
        <v>852</v>
      </c>
      <c r="B59" t="s">
        <v>1254</v>
      </c>
      <c r="C59" t="s">
        <v>1255</v>
      </c>
      <c r="D59" t="s">
        <v>1256</v>
      </c>
      <c r="E59"/>
      <c r="F59" t="s">
        <v>1257</v>
      </c>
      <c r="G59" t="s">
        <v>54</v>
      </c>
      <c r="H59" s="576">
        <v>56470</v>
      </c>
      <c r="I59"/>
      <c r="J59" t="s">
        <v>1198</v>
      </c>
      <c r="K59"/>
      <c r="L59" t="s">
        <v>1195</v>
      </c>
      <c r="M59" t="s">
        <v>1197</v>
      </c>
      <c r="N59" t="s">
        <v>54</v>
      </c>
      <c r="O59" s="576">
        <v>56353</v>
      </c>
      <c r="P59"/>
      <c r="Q59">
        <v>3209836300</v>
      </c>
      <c r="R59">
        <v>3209836345</v>
      </c>
      <c r="S59" t="s">
        <v>1199</v>
      </c>
      <c r="T59" t="s">
        <v>1200</v>
      </c>
      <c r="U59" t="s">
        <v>1201</v>
      </c>
      <c r="V59" t="s">
        <v>1202</v>
      </c>
      <c r="W59"/>
      <c r="X59" t="s">
        <v>1203</v>
      </c>
      <c r="Y59" t="s">
        <v>1204</v>
      </c>
      <c r="Z59" t="s">
        <v>1205</v>
      </c>
      <c r="AA59" t="s">
        <v>1206</v>
      </c>
      <c r="AB59">
        <v>3209836325</v>
      </c>
      <c r="AC59"/>
      <c r="AD59">
        <v>3209836345</v>
      </c>
      <c r="AE59" t="s">
        <v>1207</v>
      </c>
      <c r="AF59" t="s">
        <v>1208</v>
      </c>
      <c r="AG59"/>
      <c r="AH59" t="s">
        <v>1195</v>
      </c>
      <c r="AI59" t="s">
        <v>1197</v>
      </c>
      <c r="AJ59" t="s">
        <v>54</v>
      </c>
      <c r="AK59" s="576">
        <v>56353</v>
      </c>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t="s">
        <v>1209</v>
      </c>
      <c r="CG59" t="s">
        <v>1210</v>
      </c>
      <c r="CH59"/>
      <c r="CI59"/>
      <c r="CJ59"/>
      <c r="CK59"/>
      <c r="CL59"/>
      <c r="CM59"/>
      <c r="CN59">
        <v>250</v>
      </c>
      <c r="CO59">
        <v>255</v>
      </c>
      <c r="CP59"/>
      <c r="CQ59"/>
      <c r="CR59"/>
      <c r="CS59" t="s">
        <v>788</v>
      </c>
      <c r="CT59">
        <v>12</v>
      </c>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v>96</v>
      </c>
      <c r="ES59"/>
      <c r="ET59"/>
      <c r="EU59"/>
      <c r="EV59" s="439">
        <v>1777</v>
      </c>
      <c r="EW59" t="s">
        <v>2595</v>
      </c>
      <c r="EX59" t="s">
        <v>798</v>
      </c>
      <c r="EY59" t="s">
        <v>2596</v>
      </c>
      <c r="EZ59" t="s">
        <v>54</v>
      </c>
      <c r="FA59">
        <v>55434</v>
      </c>
      <c r="FB59">
        <v>1164474250</v>
      </c>
    </row>
    <row r="60" spans="1:158" s="435" customFormat="1" x14ac:dyDescent="0.2">
      <c r="A60" s="439">
        <v>834</v>
      </c>
      <c r="B60" t="s">
        <v>1258</v>
      </c>
      <c r="C60" t="s">
        <v>1259</v>
      </c>
      <c r="D60" t="s">
        <v>1260</v>
      </c>
      <c r="E60"/>
      <c r="F60" t="s">
        <v>1261</v>
      </c>
      <c r="G60" t="s">
        <v>54</v>
      </c>
      <c r="H60" s="576">
        <v>55720</v>
      </c>
      <c r="I60"/>
      <c r="J60" t="s">
        <v>1198</v>
      </c>
      <c r="K60"/>
      <c r="L60" t="s">
        <v>1195</v>
      </c>
      <c r="M60" t="s">
        <v>1197</v>
      </c>
      <c r="N60" t="s">
        <v>54</v>
      </c>
      <c r="O60" s="576">
        <v>56353</v>
      </c>
      <c r="P60"/>
      <c r="Q60">
        <v>3209836300</v>
      </c>
      <c r="R60">
        <v>3209836345</v>
      </c>
      <c r="S60" t="s">
        <v>1199</v>
      </c>
      <c r="T60" t="s">
        <v>1200</v>
      </c>
      <c r="U60" t="s">
        <v>1201</v>
      </c>
      <c r="V60" t="s">
        <v>1202</v>
      </c>
      <c r="W60"/>
      <c r="X60" t="s">
        <v>1203</v>
      </c>
      <c r="Y60" t="s">
        <v>1204</v>
      </c>
      <c r="Z60" t="s">
        <v>1205</v>
      </c>
      <c r="AA60" t="s">
        <v>1206</v>
      </c>
      <c r="AB60">
        <v>3209836325</v>
      </c>
      <c r="AC60"/>
      <c r="AD60">
        <v>3209836345</v>
      </c>
      <c r="AE60" t="s">
        <v>1207</v>
      </c>
      <c r="AF60" t="s">
        <v>1208</v>
      </c>
      <c r="AG60"/>
      <c r="AH60" t="s">
        <v>1195</v>
      </c>
      <c r="AI60" t="s">
        <v>1197</v>
      </c>
      <c r="AJ60" t="s">
        <v>54</v>
      </c>
      <c r="AK60" s="576">
        <v>56353</v>
      </c>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t="s">
        <v>1209</v>
      </c>
      <c r="CG60" t="s">
        <v>1210</v>
      </c>
      <c r="CH60"/>
      <c r="CI60"/>
      <c r="CJ60"/>
      <c r="CK60"/>
      <c r="CL60"/>
      <c r="CM60"/>
      <c r="CN60">
        <v>250</v>
      </c>
      <c r="CO60">
        <v>255</v>
      </c>
      <c r="CP60"/>
      <c r="CQ60"/>
      <c r="CR60"/>
      <c r="CS60" t="s">
        <v>788</v>
      </c>
      <c r="CT60">
        <v>12</v>
      </c>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v>96</v>
      </c>
      <c r="ES60"/>
      <c r="ET60"/>
      <c r="EU60"/>
      <c r="EV60" s="439">
        <v>367</v>
      </c>
      <c r="EW60" t="s">
        <v>2772</v>
      </c>
      <c r="EX60" t="s">
        <v>2043</v>
      </c>
      <c r="EY60" t="s">
        <v>2773</v>
      </c>
      <c r="EZ60" t="s">
        <v>54</v>
      </c>
      <c r="FA60">
        <v>55420</v>
      </c>
      <c r="FB60">
        <v>1083885081</v>
      </c>
    </row>
    <row r="61" spans="1:158" s="435" customFormat="1" x14ac:dyDescent="0.2">
      <c r="A61" s="439">
        <v>836</v>
      </c>
      <c r="B61" t="s">
        <v>1262</v>
      </c>
      <c r="C61" t="s">
        <v>1263</v>
      </c>
      <c r="D61" t="s">
        <v>1264</v>
      </c>
      <c r="E61"/>
      <c r="F61" t="s">
        <v>1023</v>
      </c>
      <c r="G61" t="s">
        <v>54</v>
      </c>
      <c r="H61" s="576">
        <v>55723</v>
      </c>
      <c r="I61"/>
      <c r="J61" t="s">
        <v>1198</v>
      </c>
      <c r="K61"/>
      <c r="L61" t="s">
        <v>1195</v>
      </c>
      <c r="M61" t="s">
        <v>1197</v>
      </c>
      <c r="N61" t="s">
        <v>54</v>
      </c>
      <c r="O61" s="576">
        <v>56353</v>
      </c>
      <c r="P61"/>
      <c r="Q61">
        <v>3209836300</v>
      </c>
      <c r="R61">
        <v>3209836345</v>
      </c>
      <c r="S61" t="s">
        <v>1199</v>
      </c>
      <c r="T61" t="s">
        <v>1200</v>
      </c>
      <c r="U61" t="s">
        <v>1201</v>
      </c>
      <c r="V61" t="s">
        <v>1202</v>
      </c>
      <c r="W61"/>
      <c r="X61" t="s">
        <v>1203</v>
      </c>
      <c r="Y61" t="s">
        <v>1204</v>
      </c>
      <c r="Z61" t="s">
        <v>1205</v>
      </c>
      <c r="AA61" t="s">
        <v>1206</v>
      </c>
      <c r="AB61">
        <v>3209836325</v>
      </c>
      <c r="AC61"/>
      <c r="AD61">
        <v>3209836345</v>
      </c>
      <c r="AE61" t="s">
        <v>1207</v>
      </c>
      <c r="AF61" t="s">
        <v>1208</v>
      </c>
      <c r="AG61"/>
      <c r="AH61" t="s">
        <v>1195</v>
      </c>
      <c r="AI61" t="s">
        <v>1197</v>
      </c>
      <c r="AJ61" t="s">
        <v>54</v>
      </c>
      <c r="AK61" s="576">
        <v>56353</v>
      </c>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t="s">
        <v>1209</v>
      </c>
      <c r="CG61" t="s">
        <v>1210</v>
      </c>
      <c r="CH61"/>
      <c r="CI61"/>
      <c r="CJ61"/>
      <c r="CK61"/>
      <c r="CL61"/>
      <c r="CM61"/>
      <c r="CN61">
        <v>250</v>
      </c>
      <c r="CO61">
        <v>255</v>
      </c>
      <c r="CP61"/>
      <c r="CQ61"/>
      <c r="CR61"/>
      <c r="CS61" t="s">
        <v>788</v>
      </c>
      <c r="CT61">
        <v>12</v>
      </c>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v>96</v>
      </c>
      <c r="ES61"/>
      <c r="ET61"/>
      <c r="EU61"/>
      <c r="EV61" s="439">
        <v>308</v>
      </c>
      <c r="EW61" t="s">
        <v>2767</v>
      </c>
      <c r="EX61" t="s">
        <v>2043</v>
      </c>
      <c r="EY61" t="s">
        <v>2774</v>
      </c>
      <c r="EZ61" t="s">
        <v>54</v>
      </c>
      <c r="FA61">
        <v>55431</v>
      </c>
      <c r="FB61">
        <v>1720059421</v>
      </c>
    </row>
    <row r="62" spans="1:158" s="435" customFormat="1" x14ac:dyDescent="0.2">
      <c r="A62" s="439">
        <v>835</v>
      </c>
      <c r="B62" t="s">
        <v>1265</v>
      </c>
      <c r="C62" t="s">
        <v>1266</v>
      </c>
      <c r="D62" t="s">
        <v>1267</v>
      </c>
      <c r="E62"/>
      <c r="F62" t="s">
        <v>727</v>
      </c>
      <c r="G62" t="s">
        <v>54</v>
      </c>
      <c r="H62" s="576">
        <v>56441</v>
      </c>
      <c r="I62"/>
      <c r="J62" t="s">
        <v>1198</v>
      </c>
      <c r="K62"/>
      <c r="L62" t="s">
        <v>1195</v>
      </c>
      <c r="M62" t="s">
        <v>1197</v>
      </c>
      <c r="N62" t="s">
        <v>54</v>
      </c>
      <c r="O62" s="576">
        <v>56353</v>
      </c>
      <c r="P62"/>
      <c r="Q62">
        <v>3209836300</v>
      </c>
      <c r="R62">
        <v>3209836345</v>
      </c>
      <c r="S62" t="s">
        <v>1199</v>
      </c>
      <c r="T62" t="s">
        <v>1200</v>
      </c>
      <c r="U62" t="s">
        <v>1201</v>
      </c>
      <c r="V62" t="s">
        <v>1202</v>
      </c>
      <c r="W62"/>
      <c r="X62" t="s">
        <v>1203</v>
      </c>
      <c r="Y62" t="s">
        <v>1204</v>
      </c>
      <c r="Z62" t="s">
        <v>1205</v>
      </c>
      <c r="AA62" t="s">
        <v>1206</v>
      </c>
      <c r="AB62">
        <v>3209836325</v>
      </c>
      <c r="AC62"/>
      <c r="AD62">
        <v>3209836345</v>
      </c>
      <c r="AE62" t="s">
        <v>1207</v>
      </c>
      <c r="AF62" t="s">
        <v>1208</v>
      </c>
      <c r="AG62"/>
      <c r="AH62" t="s">
        <v>1195</v>
      </c>
      <c r="AI62" t="s">
        <v>1197</v>
      </c>
      <c r="AJ62" t="s">
        <v>54</v>
      </c>
      <c r="AK62" s="576">
        <v>56353</v>
      </c>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t="s">
        <v>1209</v>
      </c>
      <c r="CG62" t="s">
        <v>1210</v>
      </c>
      <c r="CH62"/>
      <c r="CI62"/>
      <c r="CJ62"/>
      <c r="CK62"/>
      <c r="CL62"/>
      <c r="CM62"/>
      <c r="CN62">
        <v>250</v>
      </c>
      <c r="CO62">
        <v>255</v>
      </c>
      <c r="CP62"/>
      <c r="CQ62"/>
      <c r="CR62"/>
      <c r="CS62" t="s">
        <v>788</v>
      </c>
      <c r="CT62">
        <v>12</v>
      </c>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v>96</v>
      </c>
      <c r="ES62"/>
      <c r="ET62"/>
      <c r="EU62"/>
      <c r="EV62" s="439">
        <v>368</v>
      </c>
      <c r="EW62" t="s">
        <v>2775</v>
      </c>
      <c r="EX62" t="s">
        <v>2043</v>
      </c>
      <c r="EY62" t="s">
        <v>2776</v>
      </c>
      <c r="EZ62" t="s">
        <v>54</v>
      </c>
      <c r="FA62">
        <v>55437</v>
      </c>
      <c r="FB62">
        <v>1669496345</v>
      </c>
    </row>
    <row r="63" spans="1:158" s="435" customFormat="1" x14ac:dyDescent="0.2">
      <c r="A63" s="439">
        <v>838</v>
      </c>
      <c r="B63" t="s">
        <v>1268</v>
      </c>
      <c r="C63" t="s">
        <v>1269</v>
      </c>
      <c r="D63" t="s">
        <v>1270</v>
      </c>
      <c r="E63"/>
      <c r="F63" t="s">
        <v>1023</v>
      </c>
      <c r="G63" t="s">
        <v>54</v>
      </c>
      <c r="H63" s="576">
        <v>55731</v>
      </c>
      <c r="I63"/>
      <c r="J63" t="s">
        <v>1198</v>
      </c>
      <c r="K63"/>
      <c r="L63" t="s">
        <v>1195</v>
      </c>
      <c r="M63" t="s">
        <v>1197</v>
      </c>
      <c r="N63" t="s">
        <v>54</v>
      </c>
      <c r="O63" s="576">
        <v>56353</v>
      </c>
      <c r="P63"/>
      <c r="Q63">
        <v>3209836300</v>
      </c>
      <c r="R63">
        <v>3209836345</v>
      </c>
      <c r="S63" t="s">
        <v>1199</v>
      </c>
      <c r="T63" t="s">
        <v>1200</v>
      </c>
      <c r="U63" t="s">
        <v>1201</v>
      </c>
      <c r="V63" t="s">
        <v>1202</v>
      </c>
      <c r="W63"/>
      <c r="X63" t="s">
        <v>1203</v>
      </c>
      <c r="Y63" t="s">
        <v>1204</v>
      </c>
      <c r="Z63" t="s">
        <v>1205</v>
      </c>
      <c r="AA63" t="s">
        <v>1206</v>
      </c>
      <c r="AB63">
        <v>3209836325</v>
      </c>
      <c r="AC63"/>
      <c r="AD63">
        <v>3209836345</v>
      </c>
      <c r="AE63" t="s">
        <v>1207</v>
      </c>
      <c r="AF63" t="s">
        <v>1208</v>
      </c>
      <c r="AG63"/>
      <c r="AH63" t="s">
        <v>1195</v>
      </c>
      <c r="AI63" t="s">
        <v>1197</v>
      </c>
      <c r="AJ63" t="s">
        <v>54</v>
      </c>
      <c r="AK63" s="576">
        <v>56353</v>
      </c>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t="s">
        <v>1209</v>
      </c>
      <c r="CG63" t="s">
        <v>1210</v>
      </c>
      <c r="CH63"/>
      <c r="CI63"/>
      <c r="CJ63"/>
      <c r="CK63"/>
      <c r="CL63"/>
      <c r="CM63"/>
      <c r="CN63">
        <v>250</v>
      </c>
      <c r="CO63">
        <v>255</v>
      </c>
      <c r="CP63"/>
      <c r="CQ63"/>
      <c r="CR63"/>
      <c r="CS63" t="s">
        <v>788</v>
      </c>
      <c r="CT63">
        <v>12</v>
      </c>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v>96</v>
      </c>
      <c r="ES63"/>
      <c r="ET63"/>
      <c r="EU63"/>
      <c r="EV63" s="439">
        <v>1475</v>
      </c>
      <c r="EW63" t="s">
        <v>2040</v>
      </c>
      <c r="EX63" t="s">
        <v>2043</v>
      </c>
      <c r="EY63" t="s">
        <v>2042</v>
      </c>
      <c r="EZ63" t="s">
        <v>54</v>
      </c>
      <c r="FA63">
        <v>55435</v>
      </c>
      <c r="FB63">
        <v>1710098306</v>
      </c>
    </row>
    <row r="64" spans="1:158" s="435" customFormat="1" x14ac:dyDescent="0.2">
      <c r="A64" s="439">
        <v>837</v>
      </c>
      <c r="B64" t="s">
        <v>1271</v>
      </c>
      <c r="C64" t="s">
        <v>1272</v>
      </c>
      <c r="D64" t="s">
        <v>1273</v>
      </c>
      <c r="E64"/>
      <c r="F64" t="s">
        <v>1224</v>
      </c>
      <c r="G64" t="s">
        <v>54</v>
      </c>
      <c r="H64" s="576">
        <v>56636</v>
      </c>
      <c r="I64"/>
      <c r="J64" t="s">
        <v>1198</v>
      </c>
      <c r="K64"/>
      <c r="L64" t="s">
        <v>1195</v>
      </c>
      <c r="M64" t="s">
        <v>1197</v>
      </c>
      <c r="N64" t="s">
        <v>54</v>
      </c>
      <c r="O64" s="576">
        <v>56353</v>
      </c>
      <c r="P64"/>
      <c r="Q64">
        <v>3209836300</v>
      </c>
      <c r="R64">
        <v>3209836345</v>
      </c>
      <c r="S64" t="s">
        <v>1199</v>
      </c>
      <c r="T64" t="s">
        <v>1200</v>
      </c>
      <c r="U64" t="s">
        <v>1201</v>
      </c>
      <c r="V64" t="s">
        <v>1202</v>
      </c>
      <c r="W64"/>
      <c r="X64" t="s">
        <v>1203</v>
      </c>
      <c r="Y64" t="s">
        <v>1204</v>
      </c>
      <c r="Z64" t="s">
        <v>1205</v>
      </c>
      <c r="AA64" t="s">
        <v>1206</v>
      </c>
      <c r="AB64">
        <v>3209836325</v>
      </c>
      <c r="AC64"/>
      <c r="AD64">
        <v>3209836345</v>
      </c>
      <c r="AE64" t="s">
        <v>1207</v>
      </c>
      <c r="AF64" t="s">
        <v>1208</v>
      </c>
      <c r="AG64"/>
      <c r="AH64" t="s">
        <v>1195</v>
      </c>
      <c r="AI64" t="s">
        <v>1197</v>
      </c>
      <c r="AJ64" t="s">
        <v>54</v>
      </c>
      <c r="AK64" s="576">
        <v>56353</v>
      </c>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t="s">
        <v>1209</v>
      </c>
      <c r="CG64" t="s">
        <v>1210</v>
      </c>
      <c r="CH64"/>
      <c r="CI64"/>
      <c r="CJ64"/>
      <c r="CK64"/>
      <c r="CL64"/>
      <c r="CM64"/>
      <c r="CN64">
        <v>250</v>
      </c>
      <c r="CO64">
        <v>255</v>
      </c>
      <c r="CP64"/>
      <c r="CQ64"/>
      <c r="CR64"/>
      <c r="CS64" t="s">
        <v>788</v>
      </c>
      <c r="CT64">
        <v>12</v>
      </c>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v>96</v>
      </c>
      <c r="ES64"/>
      <c r="ET64"/>
      <c r="EU64"/>
      <c r="EV64" s="439">
        <v>1899</v>
      </c>
      <c r="EW64" t="s">
        <v>2080</v>
      </c>
      <c r="EX64" t="s">
        <v>2043</v>
      </c>
      <c r="EY64" t="s">
        <v>2081</v>
      </c>
      <c r="EZ64" t="s">
        <v>54</v>
      </c>
      <c r="FA64">
        <v>55431</v>
      </c>
      <c r="FB64">
        <v>1942778097</v>
      </c>
    </row>
    <row r="65" spans="1:158" s="435" customFormat="1" x14ac:dyDescent="0.2">
      <c r="A65" s="439">
        <v>828</v>
      </c>
      <c r="B65" t="s">
        <v>1274</v>
      </c>
      <c r="C65" t="s">
        <v>1275</v>
      </c>
      <c r="D65" t="s">
        <v>1276</v>
      </c>
      <c r="E65"/>
      <c r="F65" t="s">
        <v>1023</v>
      </c>
      <c r="G65" t="s">
        <v>54</v>
      </c>
      <c r="H65" s="576">
        <v>55705</v>
      </c>
      <c r="I65"/>
      <c r="J65" t="s">
        <v>1198</v>
      </c>
      <c r="K65"/>
      <c r="L65" t="s">
        <v>1195</v>
      </c>
      <c r="M65" t="s">
        <v>1197</v>
      </c>
      <c r="N65" t="s">
        <v>54</v>
      </c>
      <c r="O65" s="576">
        <v>56353</v>
      </c>
      <c r="P65"/>
      <c r="Q65">
        <v>3209836300</v>
      </c>
      <c r="R65">
        <v>3209836345</v>
      </c>
      <c r="S65" t="s">
        <v>1199</v>
      </c>
      <c r="T65" t="s">
        <v>1200</v>
      </c>
      <c r="U65" t="s">
        <v>1201</v>
      </c>
      <c r="V65" t="s">
        <v>1202</v>
      </c>
      <c r="W65"/>
      <c r="X65" t="s">
        <v>1203</v>
      </c>
      <c r="Y65" t="s">
        <v>1204</v>
      </c>
      <c r="Z65" t="s">
        <v>1205</v>
      </c>
      <c r="AA65" t="s">
        <v>1206</v>
      </c>
      <c r="AB65">
        <v>3209836325</v>
      </c>
      <c r="AC65"/>
      <c r="AD65">
        <v>3209836345</v>
      </c>
      <c r="AE65" t="s">
        <v>1207</v>
      </c>
      <c r="AF65" t="s">
        <v>1208</v>
      </c>
      <c r="AG65"/>
      <c r="AH65" t="s">
        <v>1195</v>
      </c>
      <c r="AI65" t="s">
        <v>1197</v>
      </c>
      <c r="AJ65" t="s">
        <v>54</v>
      </c>
      <c r="AK65" s="576">
        <v>56353</v>
      </c>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t="s">
        <v>1209</v>
      </c>
      <c r="CG65" t="s">
        <v>1210</v>
      </c>
      <c r="CH65"/>
      <c r="CI65"/>
      <c r="CJ65"/>
      <c r="CK65"/>
      <c r="CL65"/>
      <c r="CM65"/>
      <c r="CN65">
        <v>250</v>
      </c>
      <c r="CO65">
        <v>255</v>
      </c>
      <c r="CP65"/>
      <c r="CQ65"/>
      <c r="CR65"/>
      <c r="CS65" t="s">
        <v>788</v>
      </c>
      <c r="CT65">
        <v>12</v>
      </c>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v>96</v>
      </c>
      <c r="ES65"/>
      <c r="ET65"/>
      <c r="EU65"/>
      <c r="EV65" s="439">
        <v>500</v>
      </c>
      <c r="EW65" t="s">
        <v>2580</v>
      </c>
      <c r="EX65" t="s">
        <v>2043</v>
      </c>
      <c r="EY65" t="s">
        <v>2577</v>
      </c>
      <c r="EZ65" t="s">
        <v>54</v>
      </c>
      <c r="FA65">
        <v>55431</v>
      </c>
      <c r="FB65">
        <v>1518273085</v>
      </c>
    </row>
    <row r="66" spans="1:158" s="435" customFormat="1" x14ac:dyDescent="0.2">
      <c r="A66" s="439">
        <v>1134</v>
      </c>
      <c r="B66" t="s">
        <v>1277</v>
      </c>
      <c r="C66" t="s">
        <v>1278</v>
      </c>
      <c r="D66" t="s">
        <v>1279</v>
      </c>
      <c r="E66"/>
      <c r="F66" t="s">
        <v>1280</v>
      </c>
      <c r="G66" t="s">
        <v>54</v>
      </c>
      <c r="H66" s="576">
        <v>56501</v>
      </c>
      <c r="I66"/>
      <c r="J66" t="s">
        <v>1198</v>
      </c>
      <c r="K66"/>
      <c r="L66" t="s">
        <v>1195</v>
      </c>
      <c r="M66" t="s">
        <v>1197</v>
      </c>
      <c r="N66" t="s">
        <v>54</v>
      </c>
      <c r="O66" s="576">
        <v>56353</v>
      </c>
      <c r="P66"/>
      <c r="Q66">
        <v>3209836300</v>
      </c>
      <c r="R66">
        <v>3209836345</v>
      </c>
      <c r="S66" t="s">
        <v>1199</v>
      </c>
      <c r="T66" t="s">
        <v>1200</v>
      </c>
      <c r="U66" t="s">
        <v>1201</v>
      </c>
      <c r="V66" t="s">
        <v>1202</v>
      </c>
      <c r="W66"/>
      <c r="X66" t="s">
        <v>1203</v>
      </c>
      <c r="Y66" t="s">
        <v>1204</v>
      </c>
      <c r="Z66" t="s">
        <v>1205</v>
      </c>
      <c r="AA66" t="s">
        <v>1206</v>
      </c>
      <c r="AB66">
        <v>3209836325</v>
      </c>
      <c r="AC66"/>
      <c r="AD66">
        <v>3209836345</v>
      </c>
      <c r="AE66" t="s">
        <v>1207</v>
      </c>
      <c r="AF66" t="s">
        <v>1208</v>
      </c>
      <c r="AG66"/>
      <c r="AH66" t="s">
        <v>1195</v>
      </c>
      <c r="AI66" t="s">
        <v>1197</v>
      </c>
      <c r="AJ66" t="s">
        <v>54</v>
      </c>
      <c r="AK66" s="576">
        <v>56353</v>
      </c>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t="s">
        <v>1209</v>
      </c>
      <c r="CG66" t="s">
        <v>1210</v>
      </c>
      <c r="CH66"/>
      <c r="CI66"/>
      <c r="CJ66"/>
      <c r="CK66"/>
      <c r="CL66"/>
      <c r="CM66"/>
      <c r="CN66">
        <v>250</v>
      </c>
      <c r="CO66">
        <v>255</v>
      </c>
      <c r="CP66"/>
      <c r="CQ66"/>
      <c r="CR66"/>
      <c r="CS66" t="s">
        <v>788</v>
      </c>
      <c r="CT66">
        <v>12</v>
      </c>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v>96</v>
      </c>
      <c r="ES66"/>
      <c r="ET66"/>
      <c r="EU66"/>
      <c r="EV66" s="439">
        <v>349</v>
      </c>
      <c r="EW66" t="s">
        <v>2777</v>
      </c>
      <c r="EX66" t="s">
        <v>2043</v>
      </c>
      <c r="EY66" t="s">
        <v>2577</v>
      </c>
      <c r="EZ66" t="s">
        <v>54</v>
      </c>
      <c r="FA66">
        <v>55431</v>
      </c>
      <c r="FB66">
        <v>1053314013</v>
      </c>
    </row>
    <row r="67" spans="1:158" s="435" customFormat="1" ht="14.25" customHeight="1" x14ac:dyDescent="0.2">
      <c r="A67" s="439">
        <v>862</v>
      </c>
      <c r="B67" t="s">
        <v>1281</v>
      </c>
      <c r="C67" t="s">
        <v>1282</v>
      </c>
      <c r="D67" t="s">
        <v>1283</v>
      </c>
      <c r="E67"/>
      <c r="F67" t="s">
        <v>1023</v>
      </c>
      <c r="G67" t="s">
        <v>54</v>
      </c>
      <c r="H67" s="576">
        <v>55746</v>
      </c>
      <c r="I67"/>
      <c r="J67" t="s">
        <v>1198</v>
      </c>
      <c r="K67"/>
      <c r="L67" t="s">
        <v>1195</v>
      </c>
      <c r="M67" t="s">
        <v>1197</v>
      </c>
      <c r="N67" t="s">
        <v>54</v>
      </c>
      <c r="O67" s="576">
        <v>56353</v>
      </c>
      <c r="P67"/>
      <c r="Q67">
        <v>3209836300</v>
      </c>
      <c r="R67">
        <v>3209836345</v>
      </c>
      <c r="S67" t="s">
        <v>1199</v>
      </c>
      <c r="T67" t="s">
        <v>1200</v>
      </c>
      <c r="U67" t="s">
        <v>1201</v>
      </c>
      <c r="V67" t="s">
        <v>1202</v>
      </c>
      <c r="W67"/>
      <c r="X67" t="s">
        <v>1203</v>
      </c>
      <c r="Y67" t="s">
        <v>1204</v>
      </c>
      <c r="Z67" t="s">
        <v>1205</v>
      </c>
      <c r="AA67" t="s">
        <v>1206</v>
      </c>
      <c r="AB67">
        <v>3209836325</v>
      </c>
      <c r="AC67"/>
      <c r="AD67">
        <v>3209836345</v>
      </c>
      <c r="AE67" t="s">
        <v>1207</v>
      </c>
      <c r="AF67" t="s">
        <v>1208</v>
      </c>
      <c r="AG67"/>
      <c r="AH67" t="s">
        <v>1195</v>
      </c>
      <c r="AI67" t="s">
        <v>1197</v>
      </c>
      <c r="AJ67" t="s">
        <v>54</v>
      </c>
      <c r="AK67" s="576">
        <v>56353</v>
      </c>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t="s">
        <v>1209</v>
      </c>
      <c r="CG67" t="s">
        <v>1210</v>
      </c>
      <c r="CH67"/>
      <c r="CI67"/>
      <c r="CJ67"/>
      <c r="CK67"/>
      <c r="CL67"/>
      <c r="CM67"/>
      <c r="CN67">
        <v>250</v>
      </c>
      <c r="CO67">
        <v>255</v>
      </c>
      <c r="CP67"/>
      <c r="CQ67"/>
      <c r="CR67"/>
      <c r="CS67" t="s">
        <v>788</v>
      </c>
      <c r="CT67">
        <v>12</v>
      </c>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v>96</v>
      </c>
      <c r="ES67"/>
      <c r="ET67"/>
      <c r="EU67"/>
      <c r="EV67" s="439">
        <v>1320</v>
      </c>
      <c r="EW67" t="s">
        <v>2778</v>
      </c>
      <c r="EX67" t="s">
        <v>2043</v>
      </c>
      <c r="EY67" t="s">
        <v>2779</v>
      </c>
      <c r="EZ67" t="s">
        <v>54</v>
      </c>
      <c r="FA67">
        <v>55420</v>
      </c>
      <c r="FB67"/>
    </row>
    <row r="68" spans="1:158" s="435" customFormat="1" x14ac:dyDescent="0.2">
      <c r="A68" s="439">
        <v>839</v>
      </c>
      <c r="B68" t="s">
        <v>1284</v>
      </c>
      <c r="C68" t="s">
        <v>1285</v>
      </c>
      <c r="D68" t="s">
        <v>1286</v>
      </c>
      <c r="E68"/>
      <c r="F68" t="s">
        <v>1287</v>
      </c>
      <c r="G68" t="s">
        <v>54</v>
      </c>
      <c r="H68" s="576">
        <v>56334</v>
      </c>
      <c r="I68"/>
      <c r="J68" t="s">
        <v>1198</v>
      </c>
      <c r="K68"/>
      <c r="L68" t="s">
        <v>1195</v>
      </c>
      <c r="M68" t="s">
        <v>1197</v>
      </c>
      <c r="N68" t="s">
        <v>54</v>
      </c>
      <c r="O68" s="576">
        <v>56353</v>
      </c>
      <c r="P68"/>
      <c r="Q68">
        <v>3209836300</v>
      </c>
      <c r="R68">
        <v>3209836345</v>
      </c>
      <c r="S68" t="s">
        <v>1199</v>
      </c>
      <c r="T68" t="s">
        <v>1200</v>
      </c>
      <c r="U68" t="s">
        <v>1201</v>
      </c>
      <c r="V68" t="s">
        <v>1202</v>
      </c>
      <c r="W68"/>
      <c r="X68" t="s">
        <v>1203</v>
      </c>
      <c r="Y68" t="s">
        <v>1204</v>
      </c>
      <c r="Z68" t="s">
        <v>1205</v>
      </c>
      <c r="AA68" t="s">
        <v>1206</v>
      </c>
      <c r="AB68">
        <v>3209836325</v>
      </c>
      <c r="AC68"/>
      <c r="AD68">
        <v>3209836345</v>
      </c>
      <c r="AE68" t="s">
        <v>1207</v>
      </c>
      <c r="AF68" t="s">
        <v>1208</v>
      </c>
      <c r="AG68"/>
      <c r="AH68" t="s">
        <v>1195</v>
      </c>
      <c r="AI68" t="s">
        <v>1197</v>
      </c>
      <c r="AJ68" t="s">
        <v>54</v>
      </c>
      <c r="AK68" s="576">
        <v>56353</v>
      </c>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t="s">
        <v>1209</v>
      </c>
      <c r="CG68" t="s">
        <v>1210</v>
      </c>
      <c r="CH68"/>
      <c r="CI68"/>
      <c r="CJ68"/>
      <c r="CK68"/>
      <c r="CL68"/>
      <c r="CM68"/>
      <c r="CN68">
        <v>250</v>
      </c>
      <c r="CO68">
        <v>255</v>
      </c>
      <c r="CP68"/>
      <c r="CQ68"/>
      <c r="CR68"/>
      <c r="CS68" t="s">
        <v>788</v>
      </c>
      <c r="CT68">
        <v>12</v>
      </c>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v>96</v>
      </c>
      <c r="ES68"/>
      <c r="ET68"/>
      <c r="EU68"/>
      <c r="EV68" s="439">
        <v>833</v>
      </c>
      <c r="EW68" t="s">
        <v>1381</v>
      </c>
      <c r="EX68" t="s">
        <v>1382</v>
      </c>
      <c r="EY68" t="s">
        <v>1383</v>
      </c>
      <c r="EZ68" t="s">
        <v>54</v>
      </c>
      <c r="FA68">
        <v>56013</v>
      </c>
      <c r="FB68"/>
    </row>
    <row r="69" spans="1:158" s="435" customFormat="1" x14ac:dyDescent="0.2">
      <c r="A69" s="439">
        <v>553</v>
      </c>
      <c r="B69" t="s">
        <v>1288</v>
      </c>
      <c r="C69" t="s">
        <v>1289</v>
      </c>
      <c r="D69" t="s">
        <v>1290</v>
      </c>
      <c r="E69"/>
      <c r="F69" t="s">
        <v>1291</v>
      </c>
      <c r="G69" t="s">
        <v>54</v>
      </c>
      <c r="H69" s="576">
        <v>55350</v>
      </c>
      <c r="I69"/>
      <c r="J69" t="s">
        <v>1198</v>
      </c>
      <c r="K69"/>
      <c r="L69" t="s">
        <v>1195</v>
      </c>
      <c r="M69" t="s">
        <v>1197</v>
      </c>
      <c r="N69" t="s">
        <v>54</v>
      </c>
      <c r="O69" s="576">
        <v>56353</v>
      </c>
      <c r="P69"/>
      <c r="Q69">
        <v>3209836300</v>
      </c>
      <c r="R69">
        <v>3209836345</v>
      </c>
      <c r="S69" t="s">
        <v>1199</v>
      </c>
      <c r="T69" t="s">
        <v>1200</v>
      </c>
      <c r="U69" t="s">
        <v>1201</v>
      </c>
      <c r="V69" t="s">
        <v>1202</v>
      </c>
      <c r="W69"/>
      <c r="X69" t="s">
        <v>1203</v>
      </c>
      <c r="Y69" t="s">
        <v>1204</v>
      </c>
      <c r="Z69" t="s">
        <v>1205</v>
      </c>
      <c r="AA69" t="s">
        <v>1206</v>
      </c>
      <c r="AB69">
        <v>3209836325</v>
      </c>
      <c r="AC69"/>
      <c r="AD69">
        <v>3209836345</v>
      </c>
      <c r="AE69" t="s">
        <v>1207</v>
      </c>
      <c r="AF69" t="s">
        <v>1208</v>
      </c>
      <c r="AG69"/>
      <c r="AH69" t="s">
        <v>1195</v>
      </c>
      <c r="AI69" t="s">
        <v>1197</v>
      </c>
      <c r="AJ69" t="s">
        <v>54</v>
      </c>
      <c r="AK69" s="576">
        <v>56353</v>
      </c>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t="s">
        <v>1209</v>
      </c>
      <c r="CG69" t="s">
        <v>1210</v>
      </c>
      <c r="CH69"/>
      <c r="CI69"/>
      <c r="CJ69"/>
      <c r="CK69"/>
      <c r="CL69"/>
      <c r="CM69"/>
      <c r="CN69">
        <v>250</v>
      </c>
      <c r="CO69">
        <v>255</v>
      </c>
      <c r="CP69"/>
      <c r="CQ69"/>
      <c r="CR69"/>
      <c r="CS69" t="s">
        <v>788</v>
      </c>
      <c r="CT69">
        <v>12</v>
      </c>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v>96</v>
      </c>
      <c r="ES69"/>
      <c r="ET69"/>
      <c r="EU69"/>
      <c r="EV69" s="439">
        <v>162</v>
      </c>
      <c r="EW69" t="s">
        <v>2780</v>
      </c>
      <c r="EX69" t="s">
        <v>1382</v>
      </c>
      <c r="EY69" t="s">
        <v>2781</v>
      </c>
      <c r="EZ69" t="s">
        <v>54</v>
      </c>
      <c r="FA69">
        <v>56013</v>
      </c>
      <c r="FB69">
        <v>1952307688</v>
      </c>
    </row>
    <row r="70" spans="1:158" s="435" customFormat="1" x14ac:dyDescent="0.2">
      <c r="A70" s="439">
        <v>1432</v>
      </c>
      <c r="B70" t="s">
        <v>1292</v>
      </c>
      <c r="C70" t="s">
        <v>1293</v>
      </c>
      <c r="D70" t="s">
        <v>1294</v>
      </c>
      <c r="E70"/>
      <c r="F70" t="s">
        <v>1295</v>
      </c>
      <c r="G70" t="s">
        <v>54</v>
      </c>
      <c r="H70" s="576">
        <v>56728</v>
      </c>
      <c r="I70"/>
      <c r="J70" t="s">
        <v>1198</v>
      </c>
      <c r="K70"/>
      <c r="L70" t="s">
        <v>1195</v>
      </c>
      <c r="M70" t="s">
        <v>1197</v>
      </c>
      <c r="N70" t="s">
        <v>54</v>
      </c>
      <c r="O70" s="576">
        <v>56353</v>
      </c>
      <c r="P70"/>
      <c r="Q70">
        <v>3209836300</v>
      </c>
      <c r="R70">
        <v>3209836345</v>
      </c>
      <c r="S70" t="s">
        <v>1199</v>
      </c>
      <c r="T70" t="s">
        <v>1200</v>
      </c>
      <c r="U70" t="s">
        <v>1201</v>
      </c>
      <c r="V70" t="s">
        <v>1202</v>
      </c>
      <c r="W70"/>
      <c r="X70" t="s">
        <v>1203</v>
      </c>
      <c r="Y70" t="s">
        <v>1204</v>
      </c>
      <c r="Z70" t="s">
        <v>1205</v>
      </c>
      <c r="AA70" t="s">
        <v>1206</v>
      </c>
      <c r="AB70">
        <v>3209836325</v>
      </c>
      <c r="AC70"/>
      <c r="AD70">
        <v>3209836345</v>
      </c>
      <c r="AE70" t="s">
        <v>1207</v>
      </c>
      <c r="AF70" t="s">
        <v>1208</v>
      </c>
      <c r="AG70"/>
      <c r="AH70" t="s">
        <v>1195</v>
      </c>
      <c r="AI70" t="s">
        <v>1197</v>
      </c>
      <c r="AJ70" t="s">
        <v>54</v>
      </c>
      <c r="AK70" s="576">
        <v>56353</v>
      </c>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t="s">
        <v>1209</v>
      </c>
      <c r="CG70" t="s">
        <v>1210</v>
      </c>
      <c r="CH70"/>
      <c r="CI70"/>
      <c r="CJ70"/>
      <c r="CK70"/>
      <c r="CL70"/>
      <c r="CM70"/>
      <c r="CN70">
        <v>250</v>
      </c>
      <c r="CO70">
        <v>255</v>
      </c>
      <c r="CP70"/>
      <c r="CQ70"/>
      <c r="CR70"/>
      <c r="CS70" t="s">
        <v>788</v>
      </c>
      <c r="CT70">
        <v>12</v>
      </c>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v>96</v>
      </c>
      <c r="ES70"/>
      <c r="ET70"/>
      <c r="EU70"/>
      <c r="EV70" s="439">
        <v>509</v>
      </c>
      <c r="EW70" t="s">
        <v>1606</v>
      </c>
      <c r="EX70" t="s">
        <v>1607</v>
      </c>
      <c r="EY70" t="s">
        <v>1608</v>
      </c>
      <c r="EZ70" t="s">
        <v>54</v>
      </c>
      <c r="FA70">
        <v>56401</v>
      </c>
      <c r="FB70">
        <v>1639648348</v>
      </c>
    </row>
    <row r="71" spans="1:158" s="435" customFormat="1" x14ac:dyDescent="0.2">
      <c r="A71" s="439">
        <v>1207</v>
      </c>
      <c r="B71" t="s">
        <v>1296</v>
      </c>
      <c r="C71" t="s">
        <v>1297</v>
      </c>
      <c r="D71" t="s">
        <v>1298</v>
      </c>
      <c r="E71"/>
      <c r="F71" t="s">
        <v>1236</v>
      </c>
      <c r="G71" t="s">
        <v>54</v>
      </c>
      <c r="H71" s="576">
        <v>56479</v>
      </c>
      <c r="I71" s="576">
        <v>3201</v>
      </c>
      <c r="J71" t="s">
        <v>1198</v>
      </c>
      <c r="K71"/>
      <c r="L71" t="s">
        <v>1195</v>
      </c>
      <c r="M71" t="s">
        <v>1197</v>
      </c>
      <c r="N71" t="s">
        <v>54</v>
      </c>
      <c r="O71" s="576">
        <v>56353</v>
      </c>
      <c r="P71"/>
      <c r="Q71">
        <v>3209836300</v>
      </c>
      <c r="R71">
        <v>3209836345</v>
      </c>
      <c r="S71" t="s">
        <v>1199</v>
      </c>
      <c r="T71" t="s">
        <v>1200</v>
      </c>
      <c r="U71" t="s">
        <v>1201</v>
      </c>
      <c r="V71" t="s">
        <v>1202</v>
      </c>
      <c r="W71"/>
      <c r="X71" t="s">
        <v>1203</v>
      </c>
      <c r="Y71" t="s">
        <v>1204</v>
      </c>
      <c r="Z71" t="s">
        <v>1205</v>
      </c>
      <c r="AA71" t="s">
        <v>1206</v>
      </c>
      <c r="AB71">
        <v>3209836325</v>
      </c>
      <c r="AC71"/>
      <c r="AD71">
        <v>3209836345</v>
      </c>
      <c r="AE71" t="s">
        <v>1207</v>
      </c>
      <c r="AF71" t="s">
        <v>1208</v>
      </c>
      <c r="AG71"/>
      <c r="AH71" t="s">
        <v>1195</v>
      </c>
      <c r="AI71" t="s">
        <v>1197</v>
      </c>
      <c r="AJ71" t="s">
        <v>54</v>
      </c>
      <c r="AK71" s="576">
        <v>56353</v>
      </c>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t="s">
        <v>1209</v>
      </c>
      <c r="CG71" t="s">
        <v>1210</v>
      </c>
      <c r="CH71"/>
      <c r="CI71"/>
      <c r="CJ71"/>
      <c r="CK71"/>
      <c r="CL71"/>
      <c r="CM71"/>
      <c r="CN71">
        <v>250</v>
      </c>
      <c r="CO71">
        <v>255</v>
      </c>
      <c r="CP71"/>
      <c r="CQ71"/>
      <c r="CR71"/>
      <c r="CS71" t="s">
        <v>788</v>
      </c>
      <c r="CT71">
        <v>12</v>
      </c>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v>96</v>
      </c>
      <c r="ES71"/>
      <c r="ET71"/>
      <c r="EU71"/>
      <c r="EV71" s="439">
        <v>142</v>
      </c>
      <c r="EW71" t="s">
        <v>2782</v>
      </c>
      <c r="EX71" t="s">
        <v>1607</v>
      </c>
      <c r="EY71" t="s">
        <v>2783</v>
      </c>
      <c r="EZ71" t="s">
        <v>54</v>
      </c>
      <c r="FA71">
        <v>56401</v>
      </c>
      <c r="FB71">
        <v>1568415974</v>
      </c>
    </row>
    <row r="72" spans="1:158" s="435" customFormat="1" x14ac:dyDescent="0.2">
      <c r="A72" s="439">
        <v>856</v>
      </c>
      <c r="B72" t="s">
        <v>1299</v>
      </c>
      <c r="C72" t="s">
        <v>1300</v>
      </c>
      <c r="D72" t="s">
        <v>1301</v>
      </c>
      <c r="E72"/>
      <c r="F72" t="s">
        <v>1300</v>
      </c>
      <c r="G72" t="s">
        <v>54</v>
      </c>
      <c r="H72" s="576">
        <v>56751</v>
      </c>
      <c r="I72"/>
      <c r="J72" t="s">
        <v>1198</v>
      </c>
      <c r="K72"/>
      <c r="L72" t="s">
        <v>1195</v>
      </c>
      <c r="M72" t="s">
        <v>1197</v>
      </c>
      <c r="N72" t="s">
        <v>54</v>
      </c>
      <c r="O72" s="576">
        <v>56353</v>
      </c>
      <c r="P72"/>
      <c r="Q72">
        <v>3209836300</v>
      </c>
      <c r="R72">
        <v>3209836345</v>
      </c>
      <c r="S72" t="s">
        <v>1199</v>
      </c>
      <c r="T72" t="s">
        <v>1200</v>
      </c>
      <c r="U72" t="s">
        <v>1201</v>
      </c>
      <c r="V72" t="s">
        <v>1202</v>
      </c>
      <c r="W72"/>
      <c r="X72" t="s">
        <v>1203</v>
      </c>
      <c r="Y72" t="s">
        <v>1204</v>
      </c>
      <c r="Z72" t="s">
        <v>1205</v>
      </c>
      <c r="AA72" t="s">
        <v>1206</v>
      </c>
      <c r="AB72">
        <v>3209836325</v>
      </c>
      <c r="AC72"/>
      <c r="AD72">
        <v>3209836345</v>
      </c>
      <c r="AE72" t="s">
        <v>1207</v>
      </c>
      <c r="AF72" t="s">
        <v>1208</v>
      </c>
      <c r="AG72"/>
      <c r="AH72" t="s">
        <v>1195</v>
      </c>
      <c r="AI72" t="s">
        <v>1197</v>
      </c>
      <c r="AJ72" t="s">
        <v>54</v>
      </c>
      <c r="AK72" s="576">
        <v>56353</v>
      </c>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t="s">
        <v>1209</v>
      </c>
      <c r="CG72" t="s">
        <v>1210</v>
      </c>
      <c r="CH72"/>
      <c r="CI72"/>
      <c r="CJ72"/>
      <c r="CK72"/>
      <c r="CL72"/>
      <c r="CM72"/>
      <c r="CN72">
        <v>250</v>
      </c>
      <c r="CO72">
        <v>255</v>
      </c>
      <c r="CP72"/>
      <c r="CQ72"/>
      <c r="CR72"/>
      <c r="CS72" t="s">
        <v>788</v>
      </c>
      <c r="CT72">
        <v>12</v>
      </c>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v>96</v>
      </c>
      <c r="ES72"/>
      <c r="ET72"/>
      <c r="EU72"/>
      <c r="EV72" s="439">
        <v>1237</v>
      </c>
      <c r="EW72" t="s">
        <v>2144</v>
      </c>
      <c r="EX72" t="s">
        <v>1607</v>
      </c>
      <c r="EY72" t="s">
        <v>2140</v>
      </c>
      <c r="EZ72" t="s">
        <v>54</v>
      </c>
      <c r="FA72">
        <v>56401</v>
      </c>
      <c r="FB72">
        <v>1942382379</v>
      </c>
    </row>
    <row r="73" spans="1:158" s="435" customFormat="1" x14ac:dyDescent="0.2">
      <c r="A73" s="439">
        <v>861</v>
      </c>
      <c r="B73" t="s">
        <v>1302</v>
      </c>
      <c r="C73" t="s">
        <v>1303</v>
      </c>
      <c r="D73" t="s">
        <v>1304</v>
      </c>
      <c r="E73"/>
      <c r="F73" t="s">
        <v>1305</v>
      </c>
      <c r="G73" t="s">
        <v>54</v>
      </c>
      <c r="H73" s="576">
        <v>55092</v>
      </c>
      <c r="I73"/>
      <c r="J73" t="s">
        <v>1198</v>
      </c>
      <c r="K73"/>
      <c r="L73" t="s">
        <v>1195</v>
      </c>
      <c r="M73" t="s">
        <v>1197</v>
      </c>
      <c r="N73" t="s">
        <v>54</v>
      </c>
      <c r="O73" s="576">
        <v>56353</v>
      </c>
      <c r="P73"/>
      <c r="Q73">
        <v>3209836300</v>
      </c>
      <c r="R73">
        <v>3209836345</v>
      </c>
      <c r="S73" t="s">
        <v>1199</v>
      </c>
      <c r="T73" t="s">
        <v>1200</v>
      </c>
      <c r="U73" t="s">
        <v>1201</v>
      </c>
      <c r="V73" t="s">
        <v>1202</v>
      </c>
      <c r="W73"/>
      <c r="X73" t="s">
        <v>1203</v>
      </c>
      <c r="Y73" t="s">
        <v>1204</v>
      </c>
      <c r="Z73" t="s">
        <v>1205</v>
      </c>
      <c r="AA73" t="s">
        <v>1206</v>
      </c>
      <c r="AB73">
        <v>3209836325</v>
      </c>
      <c r="AC73"/>
      <c r="AD73">
        <v>3209836345</v>
      </c>
      <c r="AE73" t="s">
        <v>1207</v>
      </c>
      <c r="AF73" t="s">
        <v>1208</v>
      </c>
      <c r="AG73"/>
      <c r="AH73" t="s">
        <v>1195</v>
      </c>
      <c r="AI73" t="s">
        <v>1197</v>
      </c>
      <c r="AJ73" t="s">
        <v>54</v>
      </c>
      <c r="AK73" s="576">
        <v>56353</v>
      </c>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t="s">
        <v>1209</v>
      </c>
      <c r="CG73" t="s">
        <v>1210</v>
      </c>
      <c r="CH73"/>
      <c r="CI73"/>
      <c r="CJ73"/>
      <c r="CK73"/>
      <c r="CL73"/>
      <c r="CM73"/>
      <c r="CN73">
        <v>250</v>
      </c>
      <c r="CO73">
        <v>255</v>
      </c>
      <c r="CP73"/>
      <c r="CQ73"/>
      <c r="CR73"/>
      <c r="CS73" t="s">
        <v>788</v>
      </c>
      <c r="CT73">
        <v>12</v>
      </c>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v>96</v>
      </c>
      <c r="ES73"/>
      <c r="ET73"/>
      <c r="EU73"/>
      <c r="EV73" s="439">
        <v>958</v>
      </c>
      <c r="EW73" t="s">
        <v>1250</v>
      </c>
      <c r="EX73" t="s">
        <v>1251</v>
      </c>
      <c r="EY73" t="s">
        <v>1252</v>
      </c>
      <c r="EZ73" t="s">
        <v>54</v>
      </c>
      <c r="FA73">
        <v>56520</v>
      </c>
      <c r="FB73"/>
    </row>
    <row r="74" spans="1:158" x14ac:dyDescent="0.2">
      <c r="A74" s="439">
        <v>854</v>
      </c>
      <c r="B74" t="s">
        <v>1306</v>
      </c>
      <c r="C74" t="s">
        <v>1307</v>
      </c>
      <c r="D74" t="s">
        <v>1308</v>
      </c>
      <c r="E74"/>
      <c r="F74" t="s">
        <v>1309</v>
      </c>
      <c r="G74" t="s">
        <v>54</v>
      </c>
      <c r="H74" s="576">
        <v>55371</v>
      </c>
      <c r="I74"/>
      <c r="J74" t="s">
        <v>1198</v>
      </c>
      <c r="K74"/>
      <c r="L74" t="s">
        <v>1195</v>
      </c>
      <c r="M74" t="s">
        <v>1197</v>
      </c>
      <c r="N74" t="s">
        <v>54</v>
      </c>
      <c r="O74" s="576">
        <v>56353</v>
      </c>
      <c r="P74"/>
      <c r="Q74">
        <v>3209836300</v>
      </c>
      <c r="R74">
        <v>3209836345</v>
      </c>
      <c r="S74" t="s">
        <v>1199</v>
      </c>
      <c r="T74" t="s">
        <v>1200</v>
      </c>
      <c r="U74" t="s">
        <v>1201</v>
      </c>
      <c r="V74" t="s">
        <v>1202</v>
      </c>
      <c r="W74"/>
      <c r="X74" t="s">
        <v>1203</v>
      </c>
      <c r="Y74" t="s">
        <v>1204</v>
      </c>
      <c r="Z74" t="s">
        <v>1205</v>
      </c>
      <c r="AA74" t="s">
        <v>1206</v>
      </c>
      <c r="AB74">
        <v>3209836325</v>
      </c>
      <c r="AC74"/>
      <c r="AD74">
        <v>3209836345</v>
      </c>
      <c r="AE74" t="s">
        <v>1207</v>
      </c>
      <c r="AF74" t="s">
        <v>1208</v>
      </c>
      <c r="AG74"/>
      <c r="AH74" t="s">
        <v>1195</v>
      </c>
      <c r="AI74" t="s">
        <v>1197</v>
      </c>
      <c r="AJ74" t="s">
        <v>54</v>
      </c>
      <c r="AK74" s="576">
        <v>56353</v>
      </c>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t="s">
        <v>1209</v>
      </c>
      <c r="CG74" t="s">
        <v>1210</v>
      </c>
      <c r="CH74"/>
      <c r="CI74"/>
      <c r="CJ74"/>
      <c r="CK74"/>
      <c r="CL74"/>
      <c r="CM74"/>
      <c r="CN74">
        <v>250</v>
      </c>
      <c r="CO74">
        <v>255</v>
      </c>
      <c r="CP74"/>
      <c r="CQ74"/>
      <c r="CR74"/>
      <c r="CS74" t="s">
        <v>788</v>
      </c>
      <c r="CT74">
        <v>12</v>
      </c>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v>96</v>
      </c>
      <c r="ES74"/>
      <c r="ET74"/>
      <c r="EU74"/>
      <c r="EV74" s="439">
        <v>134</v>
      </c>
      <c r="EW74" t="s">
        <v>2784</v>
      </c>
      <c r="EX74" t="s">
        <v>1251</v>
      </c>
      <c r="EY74" t="s">
        <v>1252</v>
      </c>
      <c r="EZ74" t="s">
        <v>54</v>
      </c>
      <c r="FA74">
        <v>56520</v>
      </c>
      <c r="FB74">
        <v>1639162381</v>
      </c>
    </row>
    <row r="75" spans="1:158" x14ac:dyDescent="0.2">
      <c r="A75" s="439">
        <v>964</v>
      </c>
      <c r="B75" t="s">
        <v>1310</v>
      </c>
      <c r="C75" t="s">
        <v>1311</v>
      </c>
      <c r="D75" t="s">
        <v>1312</v>
      </c>
      <c r="E75"/>
      <c r="F75" t="s">
        <v>1313</v>
      </c>
      <c r="G75" t="s">
        <v>54</v>
      </c>
      <c r="H75" s="576">
        <v>56256</v>
      </c>
      <c r="I75"/>
      <c r="J75" t="s">
        <v>1198</v>
      </c>
      <c r="K75"/>
      <c r="L75" t="s">
        <v>1195</v>
      </c>
      <c r="M75" t="s">
        <v>1197</v>
      </c>
      <c r="N75" t="s">
        <v>54</v>
      </c>
      <c r="O75" s="576">
        <v>56353</v>
      </c>
      <c r="P75"/>
      <c r="Q75">
        <v>3209836300</v>
      </c>
      <c r="R75">
        <v>3209836345</v>
      </c>
      <c r="S75" t="s">
        <v>1199</v>
      </c>
      <c r="T75" t="s">
        <v>1200</v>
      </c>
      <c r="U75" t="s">
        <v>1201</v>
      </c>
      <c r="V75" t="s">
        <v>1202</v>
      </c>
      <c r="W75"/>
      <c r="X75" t="s">
        <v>1203</v>
      </c>
      <c r="Y75" t="s">
        <v>1204</v>
      </c>
      <c r="Z75" t="s">
        <v>1205</v>
      </c>
      <c r="AA75" t="s">
        <v>1206</v>
      </c>
      <c r="AB75">
        <v>3209836325</v>
      </c>
      <c r="AC75"/>
      <c r="AD75">
        <v>3209836345</v>
      </c>
      <c r="AE75" t="s">
        <v>1207</v>
      </c>
      <c r="AF75" t="s">
        <v>1208</v>
      </c>
      <c r="AG75"/>
      <c r="AH75" t="s">
        <v>1195</v>
      </c>
      <c r="AI75" t="s">
        <v>1197</v>
      </c>
      <c r="AJ75" t="s">
        <v>54</v>
      </c>
      <c r="AK75" s="576">
        <v>56353</v>
      </c>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t="s">
        <v>1209</v>
      </c>
      <c r="CG75" t="s">
        <v>1210</v>
      </c>
      <c r="CH75"/>
      <c r="CI75"/>
      <c r="CJ75"/>
      <c r="CK75"/>
      <c r="CL75"/>
      <c r="CM75"/>
      <c r="CN75">
        <v>250</v>
      </c>
      <c r="CO75">
        <v>255</v>
      </c>
      <c r="CP75"/>
      <c r="CQ75"/>
      <c r="CR75"/>
      <c r="CS75" t="s">
        <v>788</v>
      </c>
      <c r="CT75">
        <v>12</v>
      </c>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v>96</v>
      </c>
      <c r="ES75"/>
      <c r="ET75"/>
      <c r="EU75"/>
      <c r="EV75" s="439">
        <v>1019</v>
      </c>
      <c r="EW75" t="s">
        <v>1683</v>
      </c>
      <c r="EX75" t="s">
        <v>1684</v>
      </c>
      <c r="EY75" t="s">
        <v>1685</v>
      </c>
      <c r="EZ75" t="s">
        <v>54</v>
      </c>
      <c r="FA75">
        <v>55430</v>
      </c>
      <c r="FB75">
        <v>1336580018</v>
      </c>
    </row>
    <row r="76" spans="1:158" x14ac:dyDescent="0.2">
      <c r="A76" s="439">
        <v>845</v>
      </c>
      <c r="B76" t="s">
        <v>1314</v>
      </c>
      <c r="C76" t="s">
        <v>1315</v>
      </c>
      <c r="D76" t="s">
        <v>1316</v>
      </c>
      <c r="E76"/>
      <c r="F76" t="s">
        <v>1315</v>
      </c>
      <c r="G76" t="s">
        <v>54</v>
      </c>
      <c r="H76" s="576">
        <v>56557</v>
      </c>
      <c r="I76"/>
      <c r="J76" t="s">
        <v>1198</v>
      </c>
      <c r="K76"/>
      <c r="L76" t="s">
        <v>1195</v>
      </c>
      <c r="M76" t="s">
        <v>1197</v>
      </c>
      <c r="N76" t="s">
        <v>54</v>
      </c>
      <c r="O76" s="576">
        <v>56353</v>
      </c>
      <c r="P76"/>
      <c r="Q76">
        <v>3209836300</v>
      </c>
      <c r="R76">
        <v>3209836345</v>
      </c>
      <c r="S76" t="s">
        <v>1199</v>
      </c>
      <c r="T76" t="s">
        <v>1200</v>
      </c>
      <c r="U76" t="s">
        <v>1201</v>
      </c>
      <c r="V76" t="s">
        <v>1202</v>
      </c>
      <c r="W76"/>
      <c r="X76" t="s">
        <v>1203</v>
      </c>
      <c r="Y76" t="s">
        <v>1204</v>
      </c>
      <c r="Z76" t="s">
        <v>1205</v>
      </c>
      <c r="AA76" t="s">
        <v>1206</v>
      </c>
      <c r="AB76">
        <v>3209836325</v>
      </c>
      <c r="AC76"/>
      <c r="AD76">
        <v>3209836345</v>
      </c>
      <c r="AE76" t="s">
        <v>1207</v>
      </c>
      <c r="AF76" t="s">
        <v>1208</v>
      </c>
      <c r="AG76"/>
      <c r="AH76" t="s">
        <v>1195</v>
      </c>
      <c r="AI76" t="s">
        <v>1197</v>
      </c>
      <c r="AJ76" t="s">
        <v>54</v>
      </c>
      <c r="AK76" s="576">
        <v>56353</v>
      </c>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t="s">
        <v>1209</v>
      </c>
      <c r="CG76" t="s">
        <v>1210</v>
      </c>
      <c r="CH76"/>
      <c r="CI76"/>
      <c r="CJ76"/>
      <c r="CK76"/>
      <c r="CL76"/>
      <c r="CM76"/>
      <c r="CN76">
        <v>250</v>
      </c>
      <c r="CO76">
        <v>255</v>
      </c>
      <c r="CP76"/>
      <c r="CQ76"/>
      <c r="CR76"/>
      <c r="CS76" t="s">
        <v>788</v>
      </c>
      <c r="CT76">
        <v>12</v>
      </c>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v>96</v>
      </c>
      <c r="ES76"/>
      <c r="ET76"/>
      <c r="EU76"/>
      <c r="EV76" s="439">
        <v>420</v>
      </c>
      <c r="EW76" t="s">
        <v>2785</v>
      </c>
      <c r="EX76" t="s">
        <v>1996</v>
      </c>
      <c r="EY76" t="s">
        <v>1997</v>
      </c>
      <c r="EZ76" t="s">
        <v>54</v>
      </c>
      <c r="FA76">
        <v>55445</v>
      </c>
      <c r="FB76">
        <v>1255001525</v>
      </c>
    </row>
    <row r="77" spans="1:158" x14ac:dyDescent="0.2">
      <c r="A77" s="439">
        <v>842</v>
      </c>
      <c r="B77" t="s">
        <v>1317</v>
      </c>
      <c r="C77" t="s">
        <v>1318</v>
      </c>
      <c r="D77" t="s">
        <v>1319</v>
      </c>
      <c r="E77"/>
      <c r="F77" t="s">
        <v>1320</v>
      </c>
      <c r="G77" t="s">
        <v>54</v>
      </c>
      <c r="H77" s="576">
        <v>55355</v>
      </c>
      <c r="I77"/>
      <c r="J77" t="s">
        <v>1198</v>
      </c>
      <c r="K77"/>
      <c r="L77" t="s">
        <v>1195</v>
      </c>
      <c r="M77" t="s">
        <v>1197</v>
      </c>
      <c r="N77" t="s">
        <v>54</v>
      </c>
      <c r="O77" s="576">
        <v>56353</v>
      </c>
      <c r="P77"/>
      <c r="Q77">
        <v>3209836300</v>
      </c>
      <c r="R77">
        <v>3209836345</v>
      </c>
      <c r="S77" t="s">
        <v>1199</v>
      </c>
      <c r="T77" t="s">
        <v>1200</v>
      </c>
      <c r="U77" t="s">
        <v>1201</v>
      </c>
      <c r="V77" t="s">
        <v>1202</v>
      </c>
      <c r="W77"/>
      <c r="X77" t="s">
        <v>1203</v>
      </c>
      <c r="Y77" t="s">
        <v>1204</v>
      </c>
      <c r="Z77" t="s">
        <v>1205</v>
      </c>
      <c r="AA77" t="s">
        <v>1206</v>
      </c>
      <c r="AB77">
        <v>3209836325</v>
      </c>
      <c r="AC77"/>
      <c r="AD77">
        <v>3209836345</v>
      </c>
      <c r="AE77" t="s">
        <v>1207</v>
      </c>
      <c r="AF77" t="s">
        <v>1208</v>
      </c>
      <c r="AG77"/>
      <c r="AH77" t="s">
        <v>1195</v>
      </c>
      <c r="AI77" t="s">
        <v>1197</v>
      </c>
      <c r="AJ77" t="s">
        <v>54</v>
      </c>
      <c r="AK77" s="576">
        <v>56353</v>
      </c>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t="s">
        <v>1209</v>
      </c>
      <c r="CG77" t="s">
        <v>1210</v>
      </c>
      <c r="CH77"/>
      <c r="CI77"/>
      <c r="CJ77"/>
      <c r="CK77"/>
      <c r="CL77"/>
      <c r="CM77"/>
      <c r="CN77">
        <v>250</v>
      </c>
      <c r="CO77">
        <v>255</v>
      </c>
      <c r="CP77"/>
      <c r="CQ77"/>
      <c r="CR77"/>
      <c r="CS77" t="s">
        <v>788</v>
      </c>
      <c r="CT77">
        <v>12</v>
      </c>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v>96</v>
      </c>
      <c r="ES77"/>
      <c r="ET77"/>
      <c r="EU77"/>
      <c r="EV77" s="439">
        <v>1202</v>
      </c>
      <c r="EW77" t="s">
        <v>2786</v>
      </c>
      <c r="EX77" t="s">
        <v>1996</v>
      </c>
      <c r="EY77" t="s">
        <v>2787</v>
      </c>
      <c r="EZ77" t="s">
        <v>54</v>
      </c>
      <c r="FA77">
        <v>55443</v>
      </c>
      <c r="FB77"/>
    </row>
    <row r="78" spans="1:158" x14ac:dyDescent="0.2">
      <c r="A78" s="439">
        <v>849</v>
      </c>
      <c r="B78" t="s">
        <v>1321</v>
      </c>
      <c r="C78" t="s">
        <v>1322</v>
      </c>
      <c r="D78" t="s">
        <v>1323</v>
      </c>
      <c r="E78"/>
      <c r="F78" t="s">
        <v>1261</v>
      </c>
      <c r="G78" t="s">
        <v>54</v>
      </c>
      <c r="H78" s="576">
        <v>55767</v>
      </c>
      <c r="I78"/>
      <c r="J78" t="s">
        <v>1198</v>
      </c>
      <c r="K78"/>
      <c r="L78" t="s">
        <v>1195</v>
      </c>
      <c r="M78" t="s">
        <v>1197</v>
      </c>
      <c r="N78" t="s">
        <v>54</v>
      </c>
      <c r="O78" s="576">
        <v>56353</v>
      </c>
      <c r="P78"/>
      <c r="Q78">
        <v>3209836300</v>
      </c>
      <c r="R78">
        <v>3209836345</v>
      </c>
      <c r="S78" t="s">
        <v>1199</v>
      </c>
      <c r="T78" t="s">
        <v>1200</v>
      </c>
      <c r="U78" t="s">
        <v>1201</v>
      </c>
      <c r="V78" t="s">
        <v>1202</v>
      </c>
      <c r="W78"/>
      <c r="X78" t="s">
        <v>1203</v>
      </c>
      <c r="Y78" t="s">
        <v>1204</v>
      </c>
      <c r="Z78" t="s">
        <v>1205</v>
      </c>
      <c r="AA78" t="s">
        <v>1206</v>
      </c>
      <c r="AB78">
        <v>3209836325</v>
      </c>
      <c r="AC78"/>
      <c r="AD78">
        <v>3209836345</v>
      </c>
      <c r="AE78" t="s">
        <v>1207</v>
      </c>
      <c r="AF78" t="s">
        <v>1208</v>
      </c>
      <c r="AG78"/>
      <c r="AH78" t="s">
        <v>1195</v>
      </c>
      <c r="AI78" t="s">
        <v>1197</v>
      </c>
      <c r="AJ78" t="s">
        <v>54</v>
      </c>
      <c r="AK78" s="576">
        <v>56353</v>
      </c>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t="s">
        <v>1209</v>
      </c>
      <c r="CG78" t="s">
        <v>1210</v>
      </c>
      <c r="CH78"/>
      <c r="CI78"/>
      <c r="CJ78"/>
      <c r="CK78"/>
      <c r="CL78"/>
      <c r="CM78"/>
      <c r="CN78">
        <v>250</v>
      </c>
      <c r="CO78">
        <v>255</v>
      </c>
      <c r="CP78"/>
      <c r="CQ78"/>
      <c r="CR78"/>
      <c r="CS78" t="s">
        <v>788</v>
      </c>
      <c r="CT78">
        <v>12</v>
      </c>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v>96</v>
      </c>
      <c r="ES78"/>
      <c r="ET78"/>
      <c r="EU78"/>
      <c r="EV78" s="439">
        <v>1656</v>
      </c>
      <c r="EW78" t="s">
        <v>1995</v>
      </c>
      <c r="EX78" t="s">
        <v>1996</v>
      </c>
      <c r="EY78" t="s">
        <v>1997</v>
      </c>
      <c r="EZ78" t="s">
        <v>54</v>
      </c>
      <c r="FA78">
        <v>55445</v>
      </c>
      <c r="FB78"/>
    </row>
    <row r="79" spans="1:158" x14ac:dyDescent="0.2">
      <c r="A79" s="439">
        <v>851</v>
      </c>
      <c r="B79" t="s">
        <v>1324</v>
      </c>
      <c r="C79" t="s">
        <v>1325</v>
      </c>
      <c r="D79" t="s">
        <v>1326</v>
      </c>
      <c r="E79"/>
      <c r="F79" t="s">
        <v>1197</v>
      </c>
      <c r="G79" t="s">
        <v>54</v>
      </c>
      <c r="H79" s="576">
        <v>56359</v>
      </c>
      <c r="I79"/>
      <c r="J79" t="s">
        <v>1198</v>
      </c>
      <c r="K79"/>
      <c r="L79" t="s">
        <v>1195</v>
      </c>
      <c r="M79" t="s">
        <v>1197</v>
      </c>
      <c r="N79" t="s">
        <v>54</v>
      </c>
      <c r="O79" s="576">
        <v>56353</v>
      </c>
      <c r="P79"/>
      <c r="Q79">
        <v>3209836300</v>
      </c>
      <c r="R79">
        <v>3209836345</v>
      </c>
      <c r="S79" t="s">
        <v>1199</v>
      </c>
      <c r="T79" t="s">
        <v>1200</v>
      </c>
      <c r="U79" t="s">
        <v>1201</v>
      </c>
      <c r="V79" t="s">
        <v>1202</v>
      </c>
      <c r="W79"/>
      <c r="X79" t="s">
        <v>1203</v>
      </c>
      <c r="Y79" t="s">
        <v>1204</v>
      </c>
      <c r="Z79" t="s">
        <v>1205</v>
      </c>
      <c r="AA79" t="s">
        <v>1206</v>
      </c>
      <c r="AB79">
        <v>3209836325</v>
      </c>
      <c r="AC79"/>
      <c r="AD79">
        <v>3209836345</v>
      </c>
      <c r="AE79" t="s">
        <v>1207</v>
      </c>
      <c r="AF79" t="s">
        <v>1208</v>
      </c>
      <c r="AG79"/>
      <c r="AH79" t="s">
        <v>1195</v>
      </c>
      <c r="AI79" t="s">
        <v>1197</v>
      </c>
      <c r="AJ79" t="s">
        <v>54</v>
      </c>
      <c r="AK79" s="576">
        <v>56353</v>
      </c>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t="s">
        <v>1209</v>
      </c>
      <c r="CG79" t="s">
        <v>1210</v>
      </c>
      <c r="CH79"/>
      <c r="CI79"/>
      <c r="CJ79"/>
      <c r="CK79"/>
      <c r="CL79"/>
      <c r="CM79"/>
      <c r="CN79">
        <v>250</v>
      </c>
      <c r="CO79">
        <v>255</v>
      </c>
      <c r="CP79"/>
      <c r="CQ79"/>
      <c r="CR79"/>
      <c r="CS79" t="s">
        <v>788</v>
      </c>
      <c r="CT79">
        <v>12</v>
      </c>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c r="EP79"/>
      <c r="EQ79"/>
      <c r="ER79">
        <v>96</v>
      </c>
      <c r="ES79"/>
      <c r="ET79"/>
      <c r="EU79"/>
      <c r="EV79" s="439">
        <v>558</v>
      </c>
      <c r="EW79" t="s">
        <v>2009</v>
      </c>
      <c r="EX79" t="s">
        <v>1996</v>
      </c>
      <c r="EY79" t="s">
        <v>2010</v>
      </c>
      <c r="EZ79" t="s">
        <v>54</v>
      </c>
      <c r="FA79">
        <v>55443</v>
      </c>
      <c r="FB79">
        <v>1073819918</v>
      </c>
    </row>
    <row r="80" spans="1:158" x14ac:dyDescent="0.2">
      <c r="A80" s="439">
        <v>1478</v>
      </c>
      <c r="B80" t="s">
        <v>1327</v>
      </c>
      <c r="C80" t="s">
        <v>1328</v>
      </c>
      <c r="D80" t="s">
        <v>1329</v>
      </c>
      <c r="E80"/>
      <c r="F80" t="s">
        <v>1330</v>
      </c>
      <c r="G80" t="s">
        <v>54</v>
      </c>
      <c r="H80" s="576">
        <v>55904</v>
      </c>
      <c r="I80" t="s">
        <v>749</v>
      </c>
      <c r="J80" t="s">
        <v>1198</v>
      </c>
      <c r="K80"/>
      <c r="L80" t="s">
        <v>1195</v>
      </c>
      <c r="M80" t="s">
        <v>1197</v>
      </c>
      <c r="N80" t="s">
        <v>54</v>
      </c>
      <c r="O80" s="576">
        <v>56353</v>
      </c>
      <c r="P80"/>
      <c r="Q80">
        <v>3209836300</v>
      </c>
      <c r="R80">
        <v>3209836345</v>
      </c>
      <c r="S80" t="s">
        <v>1199</v>
      </c>
      <c r="T80" t="s">
        <v>1200</v>
      </c>
      <c r="U80" t="s">
        <v>1201</v>
      </c>
      <c r="V80" t="s">
        <v>1202</v>
      </c>
      <c r="W80"/>
      <c r="X80" t="s">
        <v>1203</v>
      </c>
      <c r="Y80" t="s">
        <v>1204</v>
      </c>
      <c r="Z80" t="s">
        <v>1205</v>
      </c>
      <c r="AA80" t="s">
        <v>1206</v>
      </c>
      <c r="AB80">
        <v>3209836325</v>
      </c>
      <c r="AC80"/>
      <c r="AD80">
        <v>3209836345</v>
      </c>
      <c r="AE80" t="s">
        <v>1207</v>
      </c>
      <c r="AF80" t="s">
        <v>1208</v>
      </c>
      <c r="AG80"/>
      <c r="AH80" t="s">
        <v>1195</v>
      </c>
      <c r="AI80" t="s">
        <v>1197</v>
      </c>
      <c r="AJ80" t="s">
        <v>54</v>
      </c>
      <c r="AK80" s="576">
        <v>56353</v>
      </c>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t="s">
        <v>1209</v>
      </c>
      <c r="CG80" t="s">
        <v>1210</v>
      </c>
      <c r="CH80"/>
      <c r="CI80"/>
      <c r="CJ80"/>
      <c r="CK80"/>
      <c r="CL80"/>
      <c r="CM80"/>
      <c r="CN80">
        <v>250</v>
      </c>
      <c r="CO80">
        <v>255</v>
      </c>
      <c r="CP80"/>
      <c r="CQ80"/>
      <c r="CR80"/>
      <c r="CS80" t="s">
        <v>788</v>
      </c>
      <c r="CT80">
        <v>12</v>
      </c>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v>96</v>
      </c>
      <c r="ES80"/>
      <c r="ET80"/>
      <c r="EU80"/>
      <c r="EV80" s="439">
        <v>695</v>
      </c>
      <c r="EW80" t="s">
        <v>2788</v>
      </c>
      <c r="EX80" t="s">
        <v>1996</v>
      </c>
      <c r="EY80" t="s">
        <v>2789</v>
      </c>
      <c r="EZ80" t="s">
        <v>54</v>
      </c>
      <c r="FA80">
        <v>55443</v>
      </c>
      <c r="FB80"/>
    </row>
    <row r="81" spans="1:158" x14ac:dyDescent="0.2">
      <c r="A81" s="439">
        <v>1477</v>
      </c>
      <c r="B81" t="s">
        <v>1331</v>
      </c>
      <c r="C81" t="s">
        <v>1332</v>
      </c>
      <c r="D81" t="s">
        <v>1333</v>
      </c>
      <c r="E81"/>
      <c r="F81" t="s">
        <v>1334</v>
      </c>
      <c r="G81" t="s">
        <v>54</v>
      </c>
      <c r="H81" s="576">
        <v>56278</v>
      </c>
      <c r="I81" t="s">
        <v>749</v>
      </c>
      <c r="J81" t="s">
        <v>1198</v>
      </c>
      <c r="K81"/>
      <c r="L81" t="s">
        <v>1195</v>
      </c>
      <c r="M81" t="s">
        <v>1197</v>
      </c>
      <c r="N81" t="s">
        <v>54</v>
      </c>
      <c r="O81" s="576">
        <v>56353</v>
      </c>
      <c r="P81"/>
      <c r="Q81">
        <v>3209836300</v>
      </c>
      <c r="R81">
        <v>3209836345</v>
      </c>
      <c r="S81" t="s">
        <v>1199</v>
      </c>
      <c r="T81" t="s">
        <v>1200</v>
      </c>
      <c r="U81" t="s">
        <v>1201</v>
      </c>
      <c r="V81" t="s">
        <v>1202</v>
      </c>
      <c r="W81"/>
      <c r="X81" t="s">
        <v>1203</v>
      </c>
      <c r="Y81" t="s">
        <v>1204</v>
      </c>
      <c r="Z81" t="s">
        <v>1205</v>
      </c>
      <c r="AA81" t="s">
        <v>1206</v>
      </c>
      <c r="AB81">
        <v>3209836325</v>
      </c>
      <c r="AC81"/>
      <c r="AD81">
        <v>3209836345</v>
      </c>
      <c r="AE81" t="s">
        <v>1207</v>
      </c>
      <c r="AF81" t="s">
        <v>1208</v>
      </c>
      <c r="AG81"/>
      <c r="AH81" t="s">
        <v>1195</v>
      </c>
      <c r="AI81" t="s">
        <v>1197</v>
      </c>
      <c r="AJ81" t="s">
        <v>54</v>
      </c>
      <c r="AK81" s="576">
        <v>56353</v>
      </c>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t="s">
        <v>1209</v>
      </c>
      <c r="CG81" t="s">
        <v>1210</v>
      </c>
      <c r="CH81"/>
      <c r="CI81"/>
      <c r="CJ81"/>
      <c r="CK81"/>
      <c r="CL81"/>
      <c r="CM81"/>
      <c r="CN81">
        <v>250</v>
      </c>
      <c r="CO81">
        <v>255</v>
      </c>
      <c r="CP81"/>
      <c r="CQ81"/>
      <c r="CR81"/>
      <c r="CS81" t="s">
        <v>788</v>
      </c>
      <c r="CT81">
        <v>12</v>
      </c>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v>96</v>
      </c>
      <c r="ES81"/>
      <c r="ET81"/>
      <c r="EU81"/>
      <c r="EV81" s="439">
        <v>259</v>
      </c>
      <c r="EW81" t="s">
        <v>2790</v>
      </c>
      <c r="EX81" t="s">
        <v>1996</v>
      </c>
      <c r="EY81" t="s">
        <v>2791</v>
      </c>
      <c r="EZ81" t="s">
        <v>54</v>
      </c>
      <c r="FA81">
        <v>55443</v>
      </c>
      <c r="FB81">
        <v>1215182928</v>
      </c>
    </row>
    <row r="82" spans="1:158" x14ac:dyDescent="0.2">
      <c r="A82" s="439">
        <v>853</v>
      </c>
      <c r="B82" t="s">
        <v>1335</v>
      </c>
      <c r="C82" t="s">
        <v>1336</v>
      </c>
      <c r="D82" t="s">
        <v>1337</v>
      </c>
      <c r="E82"/>
      <c r="F82" t="s">
        <v>1338</v>
      </c>
      <c r="G82" t="s">
        <v>54</v>
      </c>
      <c r="H82" s="576">
        <v>56573</v>
      </c>
      <c r="I82"/>
      <c r="J82" t="s">
        <v>1198</v>
      </c>
      <c r="K82"/>
      <c r="L82" t="s">
        <v>1195</v>
      </c>
      <c r="M82" t="s">
        <v>1197</v>
      </c>
      <c r="N82" t="s">
        <v>54</v>
      </c>
      <c r="O82" s="576">
        <v>56353</v>
      </c>
      <c r="P82"/>
      <c r="Q82">
        <v>3209836300</v>
      </c>
      <c r="R82">
        <v>3209836345</v>
      </c>
      <c r="S82" t="s">
        <v>1199</v>
      </c>
      <c r="T82" t="s">
        <v>1200</v>
      </c>
      <c r="U82" t="s">
        <v>1201</v>
      </c>
      <c r="V82" t="s">
        <v>1202</v>
      </c>
      <c r="W82"/>
      <c r="X82" t="s">
        <v>1203</v>
      </c>
      <c r="Y82" t="s">
        <v>1204</v>
      </c>
      <c r="Z82" t="s">
        <v>1205</v>
      </c>
      <c r="AA82" t="s">
        <v>1206</v>
      </c>
      <c r="AB82">
        <v>3209836325</v>
      </c>
      <c r="AC82"/>
      <c r="AD82">
        <v>3209836345</v>
      </c>
      <c r="AE82" t="s">
        <v>1207</v>
      </c>
      <c r="AF82" t="s">
        <v>1208</v>
      </c>
      <c r="AG82"/>
      <c r="AH82" t="s">
        <v>1195</v>
      </c>
      <c r="AI82" t="s">
        <v>1197</v>
      </c>
      <c r="AJ82" t="s">
        <v>54</v>
      </c>
      <c r="AK82" s="576">
        <v>56353</v>
      </c>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t="s">
        <v>1209</v>
      </c>
      <c r="CG82" t="s">
        <v>1210</v>
      </c>
      <c r="CH82"/>
      <c r="CI82"/>
      <c r="CJ82"/>
      <c r="CK82"/>
      <c r="CL82"/>
      <c r="CM82"/>
      <c r="CN82">
        <v>250</v>
      </c>
      <c r="CO82">
        <v>255</v>
      </c>
      <c r="CP82"/>
      <c r="CQ82"/>
      <c r="CR82"/>
      <c r="CS82" t="s">
        <v>788</v>
      </c>
      <c r="CT82">
        <v>12</v>
      </c>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c r="EP82"/>
      <c r="EQ82"/>
      <c r="ER82">
        <v>96</v>
      </c>
      <c r="ES82"/>
      <c r="ET82"/>
      <c r="EU82"/>
      <c r="EV82" s="439">
        <v>1464</v>
      </c>
      <c r="EW82" t="s">
        <v>2606</v>
      </c>
      <c r="EX82" t="s">
        <v>1996</v>
      </c>
      <c r="EY82" t="s">
        <v>2607</v>
      </c>
      <c r="EZ82" t="s">
        <v>54</v>
      </c>
      <c r="FA82">
        <v>55443</v>
      </c>
      <c r="FB82">
        <v>1164474250</v>
      </c>
    </row>
    <row r="83" spans="1:158" x14ac:dyDescent="0.2">
      <c r="A83" s="439">
        <v>938</v>
      </c>
      <c r="B83" t="s">
        <v>1339</v>
      </c>
      <c r="C83" t="s">
        <v>1340</v>
      </c>
      <c r="D83" t="s">
        <v>1341</v>
      </c>
      <c r="E83"/>
      <c r="F83" t="s">
        <v>1340</v>
      </c>
      <c r="G83" t="s">
        <v>54</v>
      </c>
      <c r="H83" s="576">
        <v>56164</v>
      </c>
      <c r="I83" s="576">
        <v>1445</v>
      </c>
      <c r="J83" t="s">
        <v>1198</v>
      </c>
      <c r="K83"/>
      <c r="L83" t="s">
        <v>1195</v>
      </c>
      <c r="M83" t="s">
        <v>1197</v>
      </c>
      <c r="N83" t="s">
        <v>54</v>
      </c>
      <c r="O83" s="576">
        <v>56353</v>
      </c>
      <c r="P83"/>
      <c r="Q83">
        <v>3209836300</v>
      </c>
      <c r="R83">
        <v>3209836345</v>
      </c>
      <c r="S83" t="s">
        <v>1199</v>
      </c>
      <c r="T83" t="s">
        <v>1200</v>
      </c>
      <c r="U83" t="s">
        <v>1201</v>
      </c>
      <c r="V83" t="s">
        <v>1202</v>
      </c>
      <c r="W83"/>
      <c r="X83" t="s">
        <v>1203</v>
      </c>
      <c r="Y83" t="s">
        <v>1204</v>
      </c>
      <c r="Z83" t="s">
        <v>1205</v>
      </c>
      <c r="AA83" t="s">
        <v>1206</v>
      </c>
      <c r="AB83">
        <v>3209836325</v>
      </c>
      <c r="AC83"/>
      <c r="AD83">
        <v>3209836345</v>
      </c>
      <c r="AE83" t="s">
        <v>1207</v>
      </c>
      <c r="AF83" t="s">
        <v>1208</v>
      </c>
      <c r="AG83"/>
      <c r="AH83" t="s">
        <v>1195</v>
      </c>
      <c r="AI83" t="s">
        <v>1197</v>
      </c>
      <c r="AJ83" t="s">
        <v>54</v>
      </c>
      <c r="AK83" s="576">
        <v>56353</v>
      </c>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t="s">
        <v>1209</v>
      </c>
      <c r="CG83" t="s">
        <v>1210</v>
      </c>
      <c r="CH83"/>
      <c r="CI83"/>
      <c r="CJ83"/>
      <c r="CK83"/>
      <c r="CL83"/>
      <c r="CM83"/>
      <c r="CN83">
        <v>250</v>
      </c>
      <c r="CO83">
        <v>255</v>
      </c>
      <c r="CP83"/>
      <c r="CQ83"/>
      <c r="CR83"/>
      <c r="CS83" t="s">
        <v>788</v>
      </c>
      <c r="CT83">
        <v>12</v>
      </c>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v>96</v>
      </c>
      <c r="ES83"/>
      <c r="ET83"/>
      <c r="EU83"/>
      <c r="EV83" s="439">
        <v>1710</v>
      </c>
      <c r="EW83" t="s">
        <v>2792</v>
      </c>
      <c r="EX83" t="s">
        <v>2793</v>
      </c>
      <c r="EY83" t="s">
        <v>2794</v>
      </c>
      <c r="EZ83" t="s">
        <v>54</v>
      </c>
      <c r="FA83">
        <v>55313</v>
      </c>
      <c r="FB83"/>
    </row>
    <row r="84" spans="1:158" x14ac:dyDescent="0.2">
      <c r="A84" s="439">
        <v>841</v>
      </c>
      <c r="B84" t="s">
        <v>1342</v>
      </c>
      <c r="C84" t="s">
        <v>1343</v>
      </c>
      <c r="D84" t="s">
        <v>1344</v>
      </c>
      <c r="E84"/>
      <c r="F84" t="s">
        <v>1345</v>
      </c>
      <c r="G84" t="s">
        <v>54</v>
      </c>
      <c r="H84" s="576">
        <v>56649</v>
      </c>
      <c r="I84"/>
      <c r="J84" t="s">
        <v>1198</v>
      </c>
      <c r="K84"/>
      <c r="L84" t="s">
        <v>1195</v>
      </c>
      <c r="M84" t="s">
        <v>1197</v>
      </c>
      <c r="N84" t="s">
        <v>54</v>
      </c>
      <c r="O84" s="576">
        <v>56353</v>
      </c>
      <c r="P84"/>
      <c r="Q84">
        <v>3209836300</v>
      </c>
      <c r="R84">
        <v>3209836345</v>
      </c>
      <c r="S84" t="s">
        <v>1199</v>
      </c>
      <c r="T84" t="s">
        <v>1200</v>
      </c>
      <c r="U84" t="s">
        <v>1201</v>
      </c>
      <c r="V84" t="s">
        <v>1202</v>
      </c>
      <c r="W84"/>
      <c r="X84" t="s">
        <v>1203</v>
      </c>
      <c r="Y84" t="s">
        <v>1204</v>
      </c>
      <c r="Z84" t="s">
        <v>1205</v>
      </c>
      <c r="AA84" t="s">
        <v>1206</v>
      </c>
      <c r="AB84">
        <v>3209836325</v>
      </c>
      <c r="AC84"/>
      <c r="AD84">
        <v>3209836345</v>
      </c>
      <c r="AE84" t="s">
        <v>1207</v>
      </c>
      <c r="AF84" t="s">
        <v>1208</v>
      </c>
      <c r="AG84"/>
      <c r="AH84" t="s">
        <v>1195</v>
      </c>
      <c r="AI84" t="s">
        <v>1197</v>
      </c>
      <c r="AJ84" t="s">
        <v>54</v>
      </c>
      <c r="AK84" s="576">
        <v>56353</v>
      </c>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t="s">
        <v>1209</v>
      </c>
      <c r="CG84" t="s">
        <v>1210</v>
      </c>
      <c r="CH84"/>
      <c r="CI84"/>
      <c r="CJ84"/>
      <c r="CK84"/>
      <c r="CL84"/>
      <c r="CM84"/>
      <c r="CN84">
        <v>250</v>
      </c>
      <c r="CO84">
        <v>255</v>
      </c>
      <c r="CP84"/>
      <c r="CQ84"/>
      <c r="CR84"/>
      <c r="CS84" t="s">
        <v>788</v>
      </c>
      <c r="CT84">
        <v>12</v>
      </c>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v>96</v>
      </c>
      <c r="ES84"/>
      <c r="ET84"/>
      <c r="EU84"/>
      <c r="EV84" s="439">
        <v>11</v>
      </c>
      <c r="EW84" t="s">
        <v>2795</v>
      </c>
      <c r="EX84" t="s">
        <v>2793</v>
      </c>
      <c r="EY84" t="s">
        <v>2796</v>
      </c>
      <c r="EZ84" t="s">
        <v>54</v>
      </c>
      <c r="FA84">
        <v>55313</v>
      </c>
      <c r="FB84">
        <v>1538123567</v>
      </c>
    </row>
    <row r="85" spans="1:158" x14ac:dyDescent="0.2">
      <c r="A85" s="439">
        <v>827</v>
      </c>
      <c r="B85" t="s">
        <v>1346</v>
      </c>
      <c r="C85" t="s">
        <v>1347</v>
      </c>
      <c r="D85" t="s">
        <v>1348</v>
      </c>
      <c r="E85"/>
      <c r="F85" t="s">
        <v>1349</v>
      </c>
      <c r="G85" t="s">
        <v>54</v>
      </c>
      <c r="H85" s="576">
        <v>55307</v>
      </c>
      <c r="I85"/>
      <c r="J85" t="s">
        <v>1198</v>
      </c>
      <c r="K85"/>
      <c r="L85" t="s">
        <v>1195</v>
      </c>
      <c r="M85" t="s">
        <v>1197</v>
      </c>
      <c r="N85" t="s">
        <v>54</v>
      </c>
      <c r="O85" s="576">
        <v>56353</v>
      </c>
      <c r="P85"/>
      <c r="Q85">
        <v>3209836300</v>
      </c>
      <c r="R85">
        <v>3209836345</v>
      </c>
      <c r="S85" t="s">
        <v>1199</v>
      </c>
      <c r="T85" t="s">
        <v>1200</v>
      </c>
      <c r="U85" t="s">
        <v>1201</v>
      </c>
      <c r="V85" t="s">
        <v>1202</v>
      </c>
      <c r="W85"/>
      <c r="X85" t="s">
        <v>1203</v>
      </c>
      <c r="Y85" t="s">
        <v>1204</v>
      </c>
      <c r="Z85" t="s">
        <v>1205</v>
      </c>
      <c r="AA85" t="s">
        <v>1206</v>
      </c>
      <c r="AB85">
        <v>3209836325</v>
      </c>
      <c r="AC85"/>
      <c r="AD85">
        <v>3209836345</v>
      </c>
      <c r="AE85" t="s">
        <v>1207</v>
      </c>
      <c r="AF85" t="s">
        <v>1208</v>
      </c>
      <c r="AG85"/>
      <c r="AH85" t="s">
        <v>1195</v>
      </c>
      <c r="AI85" t="s">
        <v>1197</v>
      </c>
      <c r="AJ85" t="s">
        <v>54</v>
      </c>
      <c r="AK85" s="576">
        <v>56353</v>
      </c>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t="s">
        <v>1209</v>
      </c>
      <c r="CG85" t="s">
        <v>1210</v>
      </c>
      <c r="CH85"/>
      <c r="CI85"/>
      <c r="CJ85"/>
      <c r="CK85"/>
      <c r="CL85"/>
      <c r="CM85"/>
      <c r="CN85">
        <v>250</v>
      </c>
      <c r="CO85">
        <v>255</v>
      </c>
      <c r="CP85"/>
      <c r="CQ85"/>
      <c r="CR85"/>
      <c r="CS85" t="s">
        <v>788</v>
      </c>
      <c r="CT85">
        <v>12</v>
      </c>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c r="EE85"/>
      <c r="EF85"/>
      <c r="EG85"/>
      <c r="EH85"/>
      <c r="EI85"/>
      <c r="EJ85"/>
      <c r="EK85"/>
      <c r="EL85"/>
      <c r="EM85"/>
      <c r="EN85"/>
      <c r="EO85"/>
      <c r="EP85"/>
      <c r="EQ85"/>
      <c r="ER85">
        <v>96</v>
      </c>
      <c r="ES85"/>
      <c r="ET85"/>
      <c r="EU85"/>
      <c r="EV85" s="439">
        <v>919</v>
      </c>
      <c r="EW85" t="s">
        <v>2797</v>
      </c>
      <c r="EX85" t="s">
        <v>2793</v>
      </c>
      <c r="EY85" t="s">
        <v>2798</v>
      </c>
      <c r="EZ85" t="s">
        <v>54</v>
      </c>
      <c r="FA85">
        <v>55313</v>
      </c>
      <c r="FB85"/>
    </row>
    <row r="86" spans="1:158" x14ac:dyDescent="0.2">
      <c r="A86" s="439">
        <v>599</v>
      </c>
      <c r="B86" t="s">
        <v>1350</v>
      </c>
      <c r="C86" t="s">
        <v>1351</v>
      </c>
      <c r="D86" t="s">
        <v>1352</v>
      </c>
      <c r="E86"/>
      <c r="F86" t="s">
        <v>1353</v>
      </c>
      <c r="G86" t="s">
        <v>54</v>
      </c>
      <c r="H86" s="576">
        <v>56082</v>
      </c>
      <c r="I86"/>
      <c r="J86" t="s">
        <v>1198</v>
      </c>
      <c r="K86"/>
      <c r="L86" t="s">
        <v>1195</v>
      </c>
      <c r="M86" t="s">
        <v>1197</v>
      </c>
      <c r="N86" t="s">
        <v>54</v>
      </c>
      <c r="O86" s="576">
        <v>56353</v>
      </c>
      <c r="P86"/>
      <c r="Q86">
        <v>3209836300</v>
      </c>
      <c r="R86">
        <v>3209836345</v>
      </c>
      <c r="S86" t="s">
        <v>1199</v>
      </c>
      <c r="T86" t="s">
        <v>1200</v>
      </c>
      <c r="U86" t="s">
        <v>1201</v>
      </c>
      <c r="V86" t="s">
        <v>1202</v>
      </c>
      <c r="W86"/>
      <c r="X86" t="s">
        <v>1203</v>
      </c>
      <c r="Y86" t="s">
        <v>1204</v>
      </c>
      <c r="Z86" t="s">
        <v>1205</v>
      </c>
      <c r="AA86" t="s">
        <v>1206</v>
      </c>
      <c r="AB86">
        <v>3209836325</v>
      </c>
      <c r="AC86"/>
      <c r="AD86">
        <v>3209836345</v>
      </c>
      <c r="AE86" t="s">
        <v>1207</v>
      </c>
      <c r="AF86" t="s">
        <v>1208</v>
      </c>
      <c r="AG86"/>
      <c r="AH86" t="s">
        <v>1195</v>
      </c>
      <c r="AI86" t="s">
        <v>1197</v>
      </c>
      <c r="AJ86" t="s">
        <v>54</v>
      </c>
      <c r="AK86" s="576">
        <v>56353</v>
      </c>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t="s">
        <v>1209</v>
      </c>
      <c r="CG86" t="s">
        <v>1210</v>
      </c>
      <c r="CH86"/>
      <c r="CI86"/>
      <c r="CJ86"/>
      <c r="CK86"/>
      <c r="CL86"/>
      <c r="CM86"/>
      <c r="CN86">
        <v>250</v>
      </c>
      <c r="CO86">
        <v>255</v>
      </c>
      <c r="CP86"/>
      <c r="CQ86"/>
      <c r="CR86"/>
      <c r="CS86" t="s">
        <v>788</v>
      </c>
      <c r="CT86">
        <v>12</v>
      </c>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c r="EE86"/>
      <c r="EF86"/>
      <c r="EG86"/>
      <c r="EH86"/>
      <c r="EI86"/>
      <c r="EJ86"/>
      <c r="EK86"/>
      <c r="EL86"/>
      <c r="EM86"/>
      <c r="EN86"/>
      <c r="EO86"/>
      <c r="EP86"/>
      <c r="EQ86"/>
      <c r="ER86">
        <v>96</v>
      </c>
      <c r="ES86"/>
      <c r="ET86"/>
      <c r="EU86"/>
      <c r="EV86" s="439">
        <v>916</v>
      </c>
      <c r="EW86" t="s">
        <v>2799</v>
      </c>
      <c r="EX86" t="s">
        <v>2793</v>
      </c>
      <c r="EY86" t="s">
        <v>2800</v>
      </c>
      <c r="EZ86" t="s">
        <v>54</v>
      </c>
      <c r="FA86">
        <v>55313</v>
      </c>
      <c r="FB86"/>
    </row>
    <row r="87" spans="1:158" x14ac:dyDescent="0.2">
      <c r="A87" s="439">
        <v>1476</v>
      </c>
      <c r="B87" t="s">
        <v>1354</v>
      </c>
      <c r="C87" t="s">
        <v>976</v>
      </c>
      <c r="D87" t="s">
        <v>1355</v>
      </c>
      <c r="E87"/>
      <c r="F87" t="s">
        <v>979</v>
      </c>
      <c r="G87" t="s">
        <v>54</v>
      </c>
      <c r="H87" s="576">
        <v>56716</v>
      </c>
      <c r="I87" t="s">
        <v>749</v>
      </c>
      <c r="J87" t="s">
        <v>1198</v>
      </c>
      <c r="K87"/>
      <c r="L87" t="s">
        <v>1195</v>
      </c>
      <c r="M87" t="s">
        <v>1197</v>
      </c>
      <c r="N87" t="s">
        <v>54</v>
      </c>
      <c r="O87" s="576">
        <v>56353</v>
      </c>
      <c r="P87"/>
      <c r="Q87">
        <v>3209836300</v>
      </c>
      <c r="R87">
        <v>3209836345</v>
      </c>
      <c r="S87" t="s">
        <v>1199</v>
      </c>
      <c r="T87" t="s">
        <v>1200</v>
      </c>
      <c r="U87" t="s">
        <v>1201</v>
      </c>
      <c r="V87" t="s">
        <v>1202</v>
      </c>
      <c r="W87"/>
      <c r="X87" t="s">
        <v>1203</v>
      </c>
      <c r="Y87" t="s">
        <v>1204</v>
      </c>
      <c r="Z87" t="s">
        <v>1205</v>
      </c>
      <c r="AA87" t="s">
        <v>1206</v>
      </c>
      <c r="AB87">
        <v>3209836325</v>
      </c>
      <c r="AC87"/>
      <c r="AD87">
        <v>3209836345</v>
      </c>
      <c r="AE87" t="s">
        <v>1207</v>
      </c>
      <c r="AF87" t="s">
        <v>1208</v>
      </c>
      <c r="AG87"/>
      <c r="AH87" t="s">
        <v>1195</v>
      </c>
      <c r="AI87" t="s">
        <v>1197</v>
      </c>
      <c r="AJ87" t="s">
        <v>54</v>
      </c>
      <c r="AK87" s="576">
        <v>56353</v>
      </c>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t="s">
        <v>1209</v>
      </c>
      <c r="CG87" t="s">
        <v>1210</v>
      </c>
      <c r="CH87"/>
      <c r="CI87"/>
      <c r="CJ87"/>
      <c r="CK87"/>
      <c r="CL87"/>
      <c r="CM87"/>
      <c r="CN87">
        <v>250</v>
      </c>
      <c r="CO87">
        <v>255</v>
      </c>
      <c r="CP87"/>
      <c r="CQ87"/>
      <c r="CR87"/>
      <c r="CS87" t="s">
        <v>788</v>
      </c>
      <c r="CT87">
        <v>12</v>
      </c>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c r="EO87"/>
      <c r="EP87"/>
      <c r="EQ87"/>
      <c r="ER87">
        <v>96</v>
      </c>
      <c r="ES87"/>
      <c r="ET87"/>
      <c r="EU87"/>
      <c r="EV87" s="439">
        <v>407</v>
      </c>
      <c r="EW87" t="s">
        <v>2801</v>
      </c>
      <c r="EX87" t="s">
        <v>1105</v>
      </c>
      <c r="EY87" t="s">
        <v>2802</v>
      </c>
      <c r="EZ87" t="s">
        <v>54</v>
      </c>
      <c r="FA87">
        <v>55337</v>
      </c>
      <c r="FB87">
        <v>1649827973</v>
      </c>
    </row>
    <row r="88" spans="1:158" x14ac:dyDescent="0.2">
      <c r="A88" s="439">
        <v>825</v>
      </c>
      <c r="B88" t="s">
        <v>1356</v>
      </c>
      <c r="C88" t="s">
        <v>1357</v>
      </c>
      <c r="D88" t="s">
        <v>1358</v>
      </c>
      <c r="E88"/>
      <c r="F88" t="s">
        <v>1357</v>
      </c>
      <c r="G88" t="s">
        <v>54</v>
      </c>
      <c r="H88" s="576">
        <v>56431</v>
      </c>
      <c r="I88"/>
      <c r="J88" t="s">
        <v>1198</v>
      </c>
      <c r="K88"/>
      <c r="L88" t="s">
        <v>1195</v>
      </c>
      <c r="M88" t="s">
        <v>1197</v>
      </c>
      <c r="N88" t="s">
        <v>54</v>
      </c>
      <c r="O88" s="576">
        <v>56353</v>
      </c>
      <c r="P88"/>
      <c r="Q88">
        <v>3209836300</v>
      </c>
      <c r="R88">
        <v>3209836345</v>
      </c>
      <c r="S88" t="s">
        <v>1199</v>
      </c>
      <c r="T88" t="s">
        <v>1200</v>
      </c>
      <c r="U88" t="s">
        <v>1201</v>
      </c>
      <c r="V88" t="s">
        <v>1202</v>
      </c>
      <c r="W88"/>
      <c r="X88" t="s">
        <v>1203</v>
      </c>
      <c r="Y88" t="s">
        <v>1204</v>
      </c>
      <c r="Z88" t="s">
        <v>1205</v>
      </c>
      <c r="AA88" t="s">
        <v>1206</v>
      </c>
      <c r="AB88">
        <v>3209836325</v>
      </c>
      <c r="AC88"/>
      <c r="AD88">
        <v>3209836345</v>
      </c>
      <c r="AE88" t="s">
        <v>1207</v>
      </c>
      <c r="AF88" t="s">
        <v>1208</v>
      </c>
      <c r="AG88"/>
      <c r="AH88" t="s">
        <v>1195</v>
      </c>
      <c r="AI88" t="s">
        <v>1197</v>
      </c>
      <c r="AJ88" t="s">
        <v>54</v>
      </c>
      <c r="AK88" s="576">
        <v>56353</v>
      </c>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t="s">
        <v>1209</v>
      </c>
      <c r="CG88" t="s">
        <v>1210</v>
      </c>
      <c r="CH88"/>
      <c r="CI88"/>
      <c r="CJ88"/>
      <c r="CK88"/>
      <c r="CL88"/>
      <c r="CM88"/>
      <c r="CN88">
        <v>250</v>
      </c>
      <c r="CO88">
        <v>255</v>
      </c>
      <c r="CP88"/>
      <c r="CQ88"/>
      <c r="CR88"/>
      <c r="CS88" t="s">
        <v>788</v>
      </c>
      <c r="CT88">
        <v>12</v>
      </c>
      <c r="CU88"/>
      <c r="CV88"/>
      <c r="CW88"/>
      <c r="CX88"/>
      <c r="CY88"/>
      <c r="CZ88"/>
      <c r="DA88"/>
      <c r="DB88"/>
      <c r="DC88"/>
      <c r="DD88"/>
      <c r="DE88"/>
      <c r="DF88"/>
      <c r="DG88"/>
      <c r="DH88"/>
      <c r="DI88"/>
      <c r="DJ88"/>
      <c r="DK88"/>
      <c r="DL88"/>
      <c r="DM88"/>
      <c r="DN88"/>
      <c r="DO88"/>
      <c r="DP88"/>
      <c r="DQ88"/>
      <c r="DR88"/>
      <c r="DS88"/>
      <c r="DT88"/>
      <c r="DU88"/>
      <c r="DV88"/>
      <c r="DW88"/>
      <c r="DX88"/>
      <c r="DY88"/>
      <c r="DZ88"/>
      <c r="EA88"/>
      <c r="EB88"/>
      <c r="EC88"/>
      <c r="ED88"/>
      <c r="EE88"/>
      <c r="EF88"/>
      <c r="EG88"/>
      <c r="EH88"/>
      <c r="EI88"/>
      <c r="EJ88"/>
      <c r="EK88"/>
      <c r="EL88"/>
      <c r="EM88"/>
      <c r="EN88"/>
      <c r="EO88"/>
      <c r="EP88"/>
      <c r="EQ88"/>
      <c r="ER88">
        <v>96</v>
      </c>
      <c r="ES88"/>
      <c r="ET88"/>
      <c r="EU88"/>
      <c r="EV88" s="439">
        <v>511</v>
      </c>
      <c r="EW88" t="s">
        <v>1104</v>
      </c>
      <c r="EX88" t="s">
        <v>1105</v>
      </c>
      <c r="EY88" t="s">
        <v>1106</v>
      </c>
      <c r="EZ88" t="s">
        <v>54</v>
      </c>
      <c r="FA88">
        <v>55337</v>
      </c>
      <c r="FB88">
        <v>1659348092</v>
      </c>
    </row>
    <row r="89" spans="1:158" x14ac:dyDescent="0.2">
      <c r="A89" s="439">
        <v>829</v>
      </c>
      <c r="B89" t="s">
        <v>1359</v>
      </c>
      <c r="C89" t="s">
        <v>1360</v>
      </c>
      <c r="D89" t="s">
        <v>1361</v>
      </c>
      <c r="E89"/>
      <c r="F89" t="s">
        <v>1362</v>
      </c>
      <c r="G89" t="s">
        <v>54</v>
      </c>
      <c r="H89" s="576">
        <v>56621</v>
      </c>
      <c r="I89"/>
      <c r="J89" t="s">
        <v>1198</v>
      </c>
      <c r="K89"/>
      <c r="L89" t="s">
        <v>1195</v>
      </c>
      <c r="M89" t="s">
        <v>1197</v>
      </c>
      <c r="N89" t="s">
        <v>54</v>
      </c>
      <c r="O89" s="576">
        <v>56353</v>
      </c>
      <c r="P89"/>
      <c r="Q89">
        <v>3209836300</v>
      </c>
      <c r="R89">
        <v>3209836345</v>
      </c>
      <c r="S89" t="s">
        <v>1199</v>
      </c>
      <c r="T89" t="s">
        <v>1200</v>
      </c>
      <c r="U89" t="s">
        <v>1201</v>
      </c>
      <c r="V89" t="s">
        <v>1202</v>
      </c>
      <c r="W89"/>
      <c r="X89" t="s">
        <v>1203</v>
      </c>
      <c r="Y89" t="s">
        <v>1204</v>
      </c>
      <c r="Z89" t="s">
        <v>1205</v>
      </c>
      <c r="AA89" t="s">
        <v>1206</v>
      </c>
      <c r="AB89">
        <v>3209836325</v>
      </c>
      <c r="AC89"/>
      <c r="AD89">
        <v>3209836345</v>
      </c>
      <c r="AE89" t="s">
        <v>1207</v>
      </c>
      <c r="AF89" t="s">
        <v>1208</v>
      </c>
      <c r="AG89"/>
      <c r="AH89" t="s">
        <v>1195</v>
      </c>
      <c r="AI89" t="s">
        <v>1197</v>
      </c>
      <c r="AJ89" t="s">
        <v>54</v>
      </c>
      <c r="AK89" s="576">
        <v>56353</v>
      </c>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t="s">
        <v>1209</v>
      </c>
      <c r="CG89" t="s">
        <v>1210</v>
      </c>
      <c r="CH89"/>
      <c r="CI89"/>
      <c r="CJ89"/>
      <c r="CK89"/>
      <c r="CL89"/>
      <c r="CM89"/>
      <c r="CN89">
        <v>250</v>
      </c>
      <c r="CO89">
        <v>255</v>
      </c>
      <c r="CP89"/>
      <c r="CQ89"/>
      <c r="CR89"/>
      <c r="CS89" t="s">
        <v>788</v>
      </c>
      <c r="CT89">
        <v>12</v>
      </c>
      <c r="CU89"/>
      <c r="CV89"/>
      <c r="CW89"/>
      <c r="CX89"/>
      <c r="CY89"/>
      <c r="CZ89"/>
      <c r="DA89"/>
      <c r="DB89"/>
      <c r="DC89"/>
      <c r="DD89"/>
      <c r="DE89"/>
      <c r="DF89"/>
      <c r="DG89"/>
      <c r="DH89"/>
      <c r="DI89"/>
      <c r="DJ89"/>
      <c r="DK89"/>
      <c r="DL89"/>
      <c r="DM89"/>
      <c r="DN89"/>
      <c r="DO89"/>
      <c r="DP89"/>
      <c r="DQ89"/>
      <c r="DR89"/>
      <c r="DS89"/>
      <c r="DT89"/>
      <c r="DU89"/>
      <c r="DV89"/>
      <c r="DW89"/>
      <c r="DX89"/>
      <c r="DY89"/>
      <c r="DZ89"/>
      <c r="EA89"/>
      <c r="EB89"/>
      <c r="EC89"/>
      <c r="ED89"/>
      <c r="EE89"/>
      <c r="EF89"/>
      <c r="EG89"/>
      <c r="EH89"/>
      <c r="EI89"/>
      <c r="EJ89"/>
      <c r="EK89"/>
      <c r="EL89"/>
      <c r="EM89"/>
      <c r="EN89"/>
      <c r="EO89"/>
      <c r="EP89"/>
      <c r="EQ89"/>
      <c r="ER89">
        <v>96</v>
      </c>
      <c r="ES89"/>
      <c r="ET89"/>
      <c r="EU89"/>
      <c r="EV89" s="439">
        <v>1461</v>
      </c>
      <c r="EW89" t="s">
        <v>1551</v>
      </c>
      <c r="EX89" t="s">
        <v>1105</v>
      </c>
      <c r="EY89" t="s">
        <v>1552</v>
      </c>
      <c r="EZ89" t="s">
        <v>54</v>
      </c>
      <c r="FA89">
        <v>55337</v>
      </c>
      <c r="FB89">
        <v>1336175744</v>
      </c>
    </row>
    <row r="90" spans="1:158" x14ac:dyDescent="0.2">
      <c r="A90" s="439">
        <v>939</v>
      </c>
      <c r="B90" t="s">
        <v>1363</v>
      </c>
      <c r="C90" t="s">
        <v>1364</v>
      </c>
      <c r="D90" t="s">
        <v>1365</v>
      </c>
      <c r="E90"/>
      <c r="F90" t="s">
        <v>1366</v>
      </c>
      <c r="G90" t="s">
        <v>54</v>
      </c>
      <c r="H90" s="576">
        <v>56296</v>
      </c>
      <c r="I90" s="576">
        <v>370</v>
      </c>
      <c r="J90" t="s">
        <v>1198</v>
      </c>
      <c r="K90"/>
      <c r="L90" t="s">
        <v>1195</v>
      </c>
      <c r="M90" t="s">
        <v>1197</v>
      </c>
      <c r="N90" t="s">
        <v>54</v>
      </c>
      <c r="O90" s="576">
        <v>56353</v>
      </c>
      <c r="P90"/>
      <c r="Q90">
        <v>3209836300</v>
      </c>
      <c r="R90">
        <v>3209836345</v>
      </c>
      <c r="S90" t="s">
        <v>1199</v>
      </c>
      <c r="T90" t="s">
        <v>1200</v>
      </c>
      <c r="U90" t="s">
        <v>1201</v>
      </c>
      <c r="V90" t="s">
        <v>1202</v>
      </c>
      <c r="W90"/>
      <c r="X90" t="s">
        <v>1203</v>
      </c>
      <c r="Y90" t="s">
        <v>1204</v>
      </c>
      <c r="Z90" t="s">
        <v>1205</v>
      </c>
      <c r="AA90" t="s">
        <v>1206</v>
      </c>
      <c r="AB90">
        <v>3209836325</v>
      </c>
      <c r="AC90"/>
      <c r="AD90">
        <v>3209836345</v>
      </c>
      <c r="AE90" t="s">
        <v>1207</v>
      </c>
      <c r="AF90" t="s">
        <v>1208</v>
      </c>
      <c r="AG90"/>
      <c r="AH90" t="s">
        <v>1195</v>
      </c>
      <c r="AI90" t="s">
        <v>1197</v>
      </c>
      <c r="AJ90" t="s">
        <v>54</v>
      </c>
      <c r="AK90" s="576">
        <v>56353</v>
      </c>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t="s">
        <v>1209</v>
      </c>
      <c r="CG90" t="s">
        <v>1210</v>
      </c>
      <c r="CH90"/>
      <c r="CI90"/>
      <c r="CJ90"/>
      <c r="CK90"/>
      <c r="CL90"/>
      <c r="CM90"/>
      <c r="CN90">
        <v>250</v>
      </c>
      <c r="CO90">
        <v>255</v>
      </c>
      <c r="CP90"/>
      <c r="CQ90"/>
      <c r="CR90"/>
      <c r="CS90" t="s">
        <v>788</v>
      </c>
      <c r="CT90">
        <v>12</v>
      </c>
      <c r="CU90"/>
      <c r="CV90"/>
      <c r="CW90"/>
      <c r="CX90"/>
      <c r="CY90"/>
      <c r="CZ90"/>
      <c r="DA90"/>
      <c r="DB90"/>
      <c r="DC90"/>
      <c r="DD90"/>
      <c r="DE90"/>
      <c r="DF90"/>
      <c r="DG90"/>
      <c r="DH90"/>
      <c r="DI90"/>
      <c r="DJ90"/>
      <c r="DK90"/>
      <c r="DL90"/>
      <c r="DM90"/>
      <c r="DN90"/>
      <c r="DO90"/>
      <c r="DP90"/>
      <c r="DQ90"/>
      <c r="DR90"/>
      <c r="DS90"/>
      <c r="DT90"/>
      <c r="DU90"/>
      <c r="DV90"/>
      <c r="DW90"/>
      <c r="DX90"/>
      <c r="DY90"/>
      <c r="DZ90"/>
      <c r="EA90"/>
      <c r="EB90"/>
      <c r="EC90"/>
      <c r="ED90"/>
      <c r="EE90"/>
      <c r="EF90"/>
      <c r="EG90"/>
      <c r="EH90"/>
      <c r="EI90"/>
      <c r="EJ90"/>
      <c r="EK90"/>
      <c r="EL90"/>
      <c r="EM90"/>
      <c r="EN90"/>
      <c r="EO90"/>
      <c r="EP90"/>
      <c r="EQ90"/>
      <c r="ER90">
        <v>96</v>
      </c>
      <c r="ES90"/>
      <c r="ET90"/>
      <c r="EU90"/>
      <c r="EV90" s="439">
        <v>548</v>
      </c>
      <c r="EW90" t="s">
        <v>2803</v>
      </c>
      <c r="EX90" t="s">
        <v>1105</v>
      </c>
      <c r="EY90" t="s">
        <v>2804</v>
      </c>
      <c r="EZ90" t="s">
        <v>54</v>
      </c>
      <c r="FA90">
        <v>55337</v>
      </c>
      <c r="FB90"/>
    </row>
    <row r="91" spans="1:158" x14ac:dyDescent="0.2">
      <c r="A91" s="439">
        <v>858</v>
      </c>
      <c r="B91" t="s">
        <v>1367</v>
      </c>
      <c r="C91" t="s">
        <v>1368</v>
      </c>
      <c r="D91" t="s">
        <v>1369</v>
      </c>
      <c r="E91"/>
      <c r="F91" t="s">
        <v>1370</v>
      </c>
      <c r="G91" t="s">
        <v>54</v>
      </c>
      <c r="H91" s="576">
        <v>56085</v>
      </c>
      <c r="I91"/>
      <c r="J91" t="s">
        <v>1198</v>
      </c>
      <c r="K91"/>
      <c r="L91" t="s">
        <v>1195</v>
      </c>
      <c r="M91" t="s">
        <v>1197</v>
      </c>
      <c r="N91" t="s">
        <v>54</v>
      </c>
      <c r="O91" s="576">
        <v>56353</v>
      </c>
      <c r="P91"/>
      <c r="Q91">
        <v>3209836300</v>
      </c>
      <c r="R91">
        <v>3209836345</v>
      </c>
      <c r="S91" t="s">
        <v>1199</v>
      </c>
      <c r="T91" t="s">
        <v>1200</v>
      </c>
      <c r="U91" t="s">
        <v>1201</v>
      </c>
      <c r="V91" t="s">
        <v>1202</v>
      </c>
      <c r="W91"/>
      <c r="X91" t="s">
        <v>1203</v>
      </c>
      <c r="Y91" t="s">
        <v>1204</v>
      </c>
      <c r="Z91" t="s">
        <v>1205</v>
      </c>
      <c r="AA91" t="s">
        <v>1206</v>
      </c>
      <c r="AB91">
        <v>3209836325</v>
      </c>
      <c r="AC91"/>
      <c r="AD91">
        <v>3209836345</v>
      </c>
      <c r="AE91" t="s">
        <v>1207</v>
      </c>
      <c r="AF91" t="s">
        <v>1208</v>
      </c>
      <c r="AG91"/>
      <c r="AH91" t="s">
        <v>1195</v>
      </c>
      <c r="AI91" t="s">
        <v>1197</v>
      </c>
      <c r="AJ91" t="s">
        <v>54</v>
      </c>
      <c r="AK91" s="576">
        <v>56353</v>
      </c>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t="s">
        <v>1209</v>
      </c>
      <c r="CG91" t="s">
        <v>1210</v>
      </c>
      <c r="CH91"/>
      <c r="CI91"/>
      <c r="CJ91"/>
      <c r="CK91"/>
      <c r="CL91"/>
      <c r="CM91"/>
      <c r="CN91">
        <v>250</v>
      </c>
      <c r="CO91">
        <v>255</v>
      </c>
      <c r="CP91"/>
      <c r="CQ91"/>
      <c r="CR91"/>
      <c r="CS91" t="s">
        <v>788</v>
      </c>
      <c r="CT91">
        <v>12</v>
      </c>
      <c r="CU91"/>
      <c r="CV91"/>
      <c r="CW91"/>
      <c r="CX91"/>
      <c r="CY91"/>
      <c r="CZ91"/>
      <c r="DA91"/>
      <c r="DB91"/>
      <c r="DC91"/>
      <c r="DD91"/>
      <c r="DE91"/>
      <c r="DF91"/>
      <c r="DG91"/>
      <c r="DH91"/>
      <c r="DI91"/>
      <c r="DJ91"/>
      <c r="DK91"/>
      <c r="DL91"/>
      <c r="DM91"/>
      <c r="DN91"/>
      <c r="DO91"/>
      <c r="DP91"/>
      <c r="DQ91"/>
      <c r="DR91"/>
      <c r="DS91"/>
      <c r="DT91"/>
      <c r="DU91"/>
      <c r="DV91"/>
      <c r="DW91"/>
      <c r="DX91"/>
      <c r="DY91"/>
      <c r="DZ91"/>
      <c r="EA91"/>
      <c r="EB91"/>
      <c r="EC91"/>
      <c r="ED91"/>
      <c r="EE91"/>
      <c r="EF91"/>
      <c r="EG91"/>
      <c r="EH91"/>
      <c r="EI91"/>
      <c r="EJ91"/>
      <c r="EK91"/>
      <c r="EL91"/>
      <c r="EM91"/>
      <c r="EN91"/>
      <c r="EO91"/>
      <c r="EP91"/>
      <c r="EQ91"/>
      <c r="ER91">
        <v>96</v>
      </c>
      <c r="ES91"/>
      <c r="ET91"/>
      <c r="EU91"/>
      <c r="EV91" s="439">
        <v>1942</v>
      </c>
      <c r="EW91" t="s">
        <v>1746</v>
      </c>
      <c r="EX91" t="s">
        <v>1105</v>
      </c>
      <c r="EY91" t="s">
        <v>1747</v>
      </c>
      <c r="EZ91" t="s">
        <v>54</v>
      </c>
      <c r="FA91">
        <v>55337</v>
      </c>
      <c r="FB91">
        <v>1659301992</v>
      </c>
    </row>
    <row r="92" spans="1:158" x14ac:dyDescent="0.2">
      <c r="A92" s="439">
        <v>843</v>
      </c>
      <c r="B92" t="s">
        <v>1371</v>
      </c>
      <c r="C92" t="s">
        <v>1372</v>
      </c>
      <c r="D92" t="s">
        <v>1373</v>
      </c>
      <c r="E92"/>
      <c r="F92" t="s">
        <v>1374</v>
      </c>
      <c r="G92" t="s">
        <v>54</v>
      </c>
      <c r="H92" s="576">
        <v>56345</v>
      </c>
      <c r="I92"/>
      <c r="J92" t="s">
        <v>1198</v>
      </c>
      <c r="K92"/>
      <c r="L92" t="s">
        <v>1195</v>
      </c>
      <c r="M92" t="s">
        <v>1197</v>
      </c>
      <c r="N92" t="s">
        <v>54</v>
      </c>
      <c r="O92" s="576">
        <v>56353</v>
      </c>
      <c r="P92"/>
      <c r="Q92">
        <v>3209836300</v>
      </c>
      <c r="R92">
        <v>3209836345</v>
      </c>
      <c r="S92" t="s">
        <v>1199</v>
      </c>
      <c r="T92" t="s">
        <v>1200</v>
      </c>
      <c r="U92" t="s">
        <v>1201</v>
      </c>
      <c r="V92" t="s">
        <v>1202</v>
      </c>
      <c r="W92"/>
      <c r="X92" t="s">
        <v>1203</v>
      </c>
      <c r="Y92" t="s">
        <v>1204</v>
      </c>
      <c r="Z92" t="s">
        <v>1205</v>
      </c>
      <c r="AA92" t="s">
        <v>1206</v>
      </c>
      <c r="AB92">
        <v>3209836325</v>
      </c>
      <c r="AC92"/>
      <c r="AD92">
        <v>3209836345</v>
      </c>
      <c r="AE92" t="s">
        <v>1207</v>
      </c>
      <c r="AF92" t="s">
        <v>1208</v>
      </c>
      <c r="AG92"/>
      <c r="AH92" t="s">
        <v>1195</v>
      </c>
      <c r="AI92" t="s">
        <v>1197</v>
      </c>
      <c r="AJ92" t="s">
        <v>54</v>
      </c>
      <c r="AK92" s="576">
        <v>56353</v>
      </c>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t="s">
        <v>1209</v>
      </c>
      <c r="CG92" t="s">
        <v>1210</v>
      </c>
      <c r="CH92"/>
      <c r="CI92"/>
      <c r="CJ92"/>
      <c r="CK92"/>
      <c r="CL92"/>
      <c r="CM92"/>
      <c r="CN92">
        <v>250</v>
      </c>
      <c r="CO92">
        <v>255</v>
      </c>
      <c r="CP92"/>
      <c r="CQ92"/>
      <c r="CR92"/>
      <c r="CS92" t="s">
        <v>788</v>
      </c>
      <c r="CT92">
        <v>12</v>
      </c>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v>96</v>
      </c>
      <c r="ES92"/>
      <c r="ET92"/>
      <c r="EU92"/>
      <c r="EV92" s="439">
        <v>414</v>
      </c>
      <c r="EW92" t="s">
        <v>2805</v>
      </c>
      <c r="EX92" t="s">
        <v>1105</v>
      </c>
      <c r="EY92" t="s">
        <v>1747</v>
      </c>
      <c r="EZ92" t="s">
        <v>54</v>
      </c>
      <c r="FA92">
        <v>55337</v>
      </c>
      <c r="FB92">
        <v>1902410368</v>
      </c>
    </row>
    <row r="93" spans="1:158" x14ac:dyDescent="0.2">
      <c r="A93" s="439">
        <v>831</v>
      </c>
      <c r="B93" t="s">
        <v>1375</v>
      </c>
      <c r="C93" t="s">
        <v>1376</v>
      </c>
      <c r="D93" t="s">
        <v>1377</v>
      </c>
      <c r="E93"/>
      <c r="F93" t="s">
        <v>1216</v>
      </c>
      <c r="G93" t="s">
        <v>54</v>
      </c>
      <c r="H93" s="576">
        <v>56215</v>
      </c>
      <c r="I93"/>
      <c r="J93" t="s">
        <v>1198</v>
      </c>
      <c r="K93"/>
      <c r="L93" t="s">
        <v>1195</v>
      </c>
      <c r="M93" t="s">
        <v>1197</v>
      </c>
      <c r="N93" t="s">
        <v>54</v>
      </c>
      <c r="O93" s="576">
        <v>56353</v>
      </c>
      <c r="P93"/>
      <c r="Q93">
        <v>3209836300</v>
      </c>
      <c r="R93">
        <v>3209836345</v>
      </c>
      <c r="S93" t="s">
        <v>1199</v>
      </c>
      <c r="T93" t="s">
        <v>1200</v>
      </c>
      <c r="U93" t="s">
        <v>1201</v>
      </c>
      <c r="V93" t="s">
        <v>1202</v>
      </c>
      <c r="W93"/>
      <c r="X93" t="s">
        <v>1203</v>
      </c>
      <c r="Y93" t="s">
        <v>1204</v>
      </c>
      <c r="Z93" t="s">
        <v>1205</v>
      </c>
      <c r="AA93" t="s">
        <v>1206</v>
      </c>
      <c r="AB93">
        <v>3209836325</v>
      </c>
      <c r="AC93"/>
      <c r="AD93">
        <v>3209836345</v>
      </c>
      <c r="AE93" t="s">
        <v>1207</v>
      </c>
      <c r="AF93" t="s">
        <v>1208</v>
      </c>
      <c r="AG93"/>
      <c r="AH93" t="s">
        <v>1195</v>
      </c>
      <c r="AI93" t="s">
        <v>1197</v>
      </c>
      <c r="AJ93" t="s">
        <v>54</v>
      </c>
      <c r="AK93" s="576">
        <v>56353</v>
      </c>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t="s">
        <v>1209</v>
      </c>
      <c r="CG93" t="s">
        <v>1210</v>
      </c>
      <c r="CH93"/>
      <c r="CI93"/>
      <c r="CJ93"/>
      <c r="CK93"/>
      <c r="CL93"/>
      <c r="CM93"/>
      <c r="CN93">
        <v>250</v>
      </c>
      <c r="CO93">
        <v>255</v>
      </c>
      <c r="CP93"/>
      <c r="CQ93"/>
      <c r="CR93"/>
      <c r="CS93" t="s">
        <v>788</v>
      </c>
      <c r="CT93">
        <v>12</v>
      </c>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v>96</v>
      </c>
      <c r="ES93"/>
      <c r="ET93"/>
      <c r="EU93"/>
      <c r="EV93" s="439">
        <v>42</v>
      </c>
      <c r="EW93" t="s">
        <v>2806</v>
      </c>
      <c r="EX93" t="s">
        <v>1105</v>
      </c>
      <c r="EY93" t="s">
        <v>2807</v>
      </c>
      <c r="EZ93" t="s">
        <v>54</v>
      </c>
      <c r="FA93">
        <v>55337</v>
      </c>
      <c r="FB93">
        <v>1245217520</v>
      </c>
    </row>
    <row r="94" spans="1:158" x14ac:dyDescent="0.2">
      <c r="A94" s="439">
        <v>860</v>
      </c>
      <c r="B94" t="s">
        <v>1378</v>
      </c>
      <c r="C94" t="s">
        <v>1379</v>
      </c>
      <c r="D94" t="s">
        <v>1380</v>
      </c>
      <c r="E94"/>
      <c r="F94" t="s">
        <v>1379</v>
      </c>
      <c r="G94" t="s">
        <v>54</v>
      </c>
      <c r="H94" s="576">
        <v>56482</v>
      </c>
      <c r="I94"/>
      <c r="J94" t="s">
        <v>1198</v>
      </c>
      <c r="K94"/>
      <c r="L94" t="s">
        <v>1195</v>
      </c>
      <c r="M94" t="s">
        <v>1197</v>
      </c>
      <c r="N94" t="s">
        <v>54</v>
      </c>
      <c r="O94" s="576">
        <v>56353</v>
      </c>
      <c r="P94"/>
      <c r="Q94">
        <v>3209836300</v>
      </c>
      <c r="R94">
        <v>3209836345</v>
      </c>
      <c r="S94" t="s">
        <v>1199</v>
      </c>
      <c r="T94" t="s">
        <v>1200</v>
      </c>
      <c r="U94" t="s">
        <v>1201</v>
      </c>
      <c r="V94" t="s">
        <v>1202</v>
      </c>
      <c r="W94"/>
      <c r="X94" t="s">
        <v>1203</v>
      </c>
      <c r="Y94" t="s">
        <v>1204</v>
      </c>
      <c r="Z94" t="s">
        <v>1205</v>
      </c>
      <c r="AA94" t="s">
        <v>1206</v>
      </c>
      <c r="AB94">
        <v>3209836325</v>
      </c>
      <c r="AC94"/>
      <c r="AD94">
        <v>3209836345</v>
      </c>
      <c r="AE94" t="s">
        <v>1207</v>
      </c>
      <c r="AF94" t="s">
        <v>1208</v>
      </c>
      <c r="AG94"/>
      <c r="AH94" t="s">
        <v>1195</v>
      </c>
      <c r="AI94" t="s">
        <v>1197</v>
      </c>
      <c r="AJ94" t="s">
        <v>54</v>
      </c>
      <c r="AK94" s="576">
        <v>56353</v>
      </c>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t="s">
        <v>1209</v>
      </c>
      <c r="CG94" t="s">
        <v>1210</v>
      </c>
      <c r="CH94"/>
      <c r="CI94"/>
      <c r="CJ94"/>
      <c r="CK94"/>
      <c r="CL94"/>
      <c r="CM94"/>
      <c r="CN94">
        <v>250</v>
      </c>
      <c r="CO94">
        <v>255</v>
      </c>
      <c r="CP94"/>
      <c r="CQ94"/>
      <c r="CR94"/>
      <c r="CS94" t="s">
        <v>788</v>
      </c>
      <c r="CT94">
        <v>12</v>
      </c>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c r="EJ94"/>
      <c r="EK94"/>
      <c r="EL94"/>
      <c r="EM94"/>
      <c r="EN94"/>
      <c r="EO94"/>
      <c r="EP94"/>
      <c r="EQ94"/>
      <c r="ER94">
        <v>96</v>
      </c>
      <c r="ES94"/>
      <c r="ET94"/>
      <c r="EU94"/>
      <c r="EV94" s="439">
        <v>516</v>
      </c>
      <c r="EW94" t="s">
        <v>1941</v>
      </c>
      <c r="EX94" t="s">
        <v>1105</v>
      </c>
      <c r="EY94" t="s">
        <v>1942</v>
      </c>
      <c r="EZ94" t="s">
        <v>54</v>
      </c>
      <c r="FA94">
        <v>55337</v>
      </c>
      <c r="FB94">
        <v>1629027594</v>
      </c>
    </row>
    <row r="95" spans="1:158" x14ac:dyDescent="0.2">
      <c r="A95" s="439">
        <v>833</v>
      </c>
      <c r="B95" t="s">
        <v>1381</v>
      </c>
      <c r="C95" t="s">
        <v>1382</v>
      </c>
      <c r="D95" t="s">
        <v>1383</v>
      </c>
      <c r="E95"/>
      <c r="F95" t="s">
        <v>1384</v>
      </c>
      <c r="G95" t="s">
        <v>54</v>
      </c>
      <c r="H95" s="576">
        <v>56013</v>
      </c>
      <c r="I95"/>
      <c r="J95" t="s">
        <v>1198</v>
      </c>
      <c r="K95"/>
      <c r="L95" t="s">
        <v>1195</v>
      </c>
      <c r="M95" t="s">
        <v>1197</v>
      </c>
      <c r="N95" t="s">
        <v>54</v>
      </c>
      <c r="O95" s="576">
        <v>56353</v>
      </c>
      <c r="P95"/>
      <c r="Q95">
        <v>3209836300</v>
      </c>
      <c r="R95">
        <v>3209836345</v>
      </c>
      <c r="S95" t="s">
        <v>1199</v>
      </c>
      <c r="T95" t="s">
        <v>1200</v>
      </c>
      <c r="U95" t="s">
        <v>1201</v>
      </c>
      <c r="V95" t="s">
        <v>1202</v>
      </c>
      <c r="W95"/>
      <c r="X95" t="s">
        <v>1203</v>
      </c>
      <c r="Y95" t="s">
        <v>1204</v>
      </c>
      <c r="Z95" t="s">
        <v>1205</v>
      </c>
      <c r="AA95" t="s">
        <v>1206</v>
      </c>
      <c r="AB95">
        <v>3209836325</v>
      </c>
      <c r="AC95"/>
      <c r="AD95">
        <v>3209836345</v>
      </c>
      <c r="AE95" t="s">
        <v>1207</v>
      </c>
      <c r="AF95" t="s">
        <v>1208</v>
      </c>
      <c r="AG95"/>
      <c r="AH95" t="s">
        <v>1195</v>
      </c>
      <c r="AI95" t="s">
        <v>1197</v>
      </c>
      <c r="AJ95" t="s">
        <v>54</v>
      </c>
      <c r="AK95" s="576">
        <v>56353</v>
      </c>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t="s">
        <v>1209</v>
      </c>
      <c r="CG95" t="s">
        <v>1210</v>
      </c>
      <c r="CH95"/>
      <c r="CI95"/>
      <c r="CJ95"/>
      <c r="CK95"/>
      <c r="CL95"/>
      <c r="CM95"/>
      <c r="CN95">
        <v>250</v>
      </c>
      <c r="CO95">
        <v>255</v>
      </c>
      <c r="CP95"/>
      <c r="CQ95"/>
      <c r="CR95"/>
      <c r="CS95" t="s">
        <v>788</v>
      </c>
      <c r="CT95">
        <v>12</v>
      </c>
      <c r="CU95"/>
      <c r="CV95"/>
      <c r="CW95"/>
      <c r="CX95"/>
      <c r="CY95"/>
      <c r="CZ95"/>
      <c r="DA95"/>
      <c r="DB95"/>
      <c r="DC95"/>
      <c r="DD95"/>
      <c r="DE95"/>
      <c r="DF95"/>
      <c r="DG95"/>
      <c r="DH95"/>
      <c r="DI95"/>
      <c r="DJ95"/>
      <c r="DK95"/>
      <c r="DL95"/>
      <c r="DM95"/>
      <c r="DN95"/>
      <c r="DO95"/>
      <c r="DP95"/>
      <c r="DQ95"/>
      <c r="DR95"/>
      <c r="DS95"/>
      <c r="DT95"/>
      <c r="DU95"/>
      <c r="DV95"/>
      <c r="DW95"/>
      <c r="DX95"/>
      <c r="DY95"/>
      <c r="DZ95"/>
      <c r="EA95"/>
      <c r="EB95"/>
      <c r="EC95"/>
      <c r="ED95"/>
      <c r="EE95"/>
      <c r="EF95"/>
      <c r="EG95"/>
      <c r="EH95"/>
      <c r="EI95"/>
      <c r="EJ95"/>
      <c r="EK95"/>
      <c r="EL95"/>
      <c r="EM95"/>
      <c r="EN95"/>
      <c r="EO95"/>
      <c r="EP95"/>
      <c r="EQ95"/>
      <c r="ER95">
        <v>96</v>
      </c>
      <c r="ES95"/>
      <c r="ET95"/>
      <c r="EU95"/>
      <c r="EV95" s="439">
        <v>736</v>
      </c>
      <c r="EW95" t="s">
        <v>1952</v>
      </c>
      <c r="EX95" t="s">
        <v>1105</v>
      </c>
      <c r="EY95" t="s">
        <v>1953</v>
      </c>
      <c r="EZ95" t="s">
        <v>54</v>
      </c>
      <c r="FA95">
        <v>55337</v>
      </c>
      <c r="FB95">
        <v>1992739247</v>
      </c>
    </row>
    <row r="96" spans="1:158" x14ac:dyDescent="0.2">
      <c r="A96" s="439">
        <v>850</v>
      </c>
      <c r="B96" t="s">
        <v>1385</v>
      </c>
      <c r="C96" t="s">
        <v>1386</v>
      </c>
      <c r="D96" t="s">
        <v>1387</v>
      </c>
      <c r="E96"/>
      <c r="F96" t="s">
        <v>1388</v>
      </c>
      <c r="G96" t="s">
        <v>54</v>
      </c>
      <c r="H96" s="576">
        <v>55051</v>
      </c>
      <c r="I96"/>
      <c r="J96" t="s">
        <v>1198</v>
      </c>
      <c r="K96"/>
      <c r="L96" t="s">
        <v>1195</v>
      </c>
      <c r="M96" t="s">
        <v>1197</v>
      </c>
      <c r="N96" t="s">
        <v>54</v>
      </c>
      <c r="O96" s="576">
        <v>56353</v>
      </c>
      <c r="P96"/>
      <c r="Q96">
        <v>3209836300</v>
      </c>
      <c r="R96">
        <v>3209836345</v>
      </c>
      <c r="S96" t="s">
        <v>1199</v>
      </c>
      <c r="T96" t="s">
        <v>1200</v>
      </c>
      <c r="U96" t="s">
        <v>1201</v>
      </c>
      <c r="V96" t="s">
        <v>1202</v>
      </c>
      <c r="W96"/>
      <c r="X96" t="s">
        <v>1203</v>
      </c>
      <c r="Y96" t="s">
        <v>1204</v>
      </c>
      <c r="Z96" t="s">
        <v>1205</v>
      </c>
      <c r="AA96" t="s">
        <v>1206</v>
      </c>
      <c r="AB96">
        <v>3209836325</v>
      </c>
      <c r="AC96"/>
      <c r="AD96">
        <v>3209836345</v>
      </c>
      <c r="AE96" t="s">
        <v>1207</v>
      </c>
      <c r="AF96" t="s">
        <v>1208</v>
      </c>
      <c r="AG96"/>
      <c r="AH96" t="s">
        <v>1195</v>
      </c>
      <c r="AI96" t="s">
        <v>1197</v>
      </c>
      <c r="AJ96" t="s">
        <v>54</v>
      </c>
      <c r="AK96" s="576">
        <v>56353</v>
      </c>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t="s">
        <v>1209</v>
      </c>
      <c r="CG96" t="s">
        <v>1210</v>
      </c>
      <c r="CH96"/>
      <c r="CI96"/>
      <c r="CJ96"/>
      <c r="CK96"/>
      <c r="CL96"/>
      <c r="CM96"/>
      <c r="CN96">
        <v>250</v>
      </c>
      <c r="CO96">
        <v>255</v>
      </c>
      <c r="CP96"/>
      <c r="CQ96"/>
      <c r="CR96"/>
      <c r="CS96" t="s">
        <v>788</v>
      </c>
      <c r="CT96">
        <v>12</v>
      </c>
      <c r="CU96"/>
      <c r="CV96"/>
      <c r="CW96"/>
      <c r="CX96"/>
      <c r="CY96"/>
      <c r="CZ96"/>
      <c r="DA96"/>
      <c r="DB96"/>
      <c r="DC96"/>
      <c r="DD96"/>
      <c r="DE96"/>
      <c r="DF96"/>
      <c r="DG96"/>
      <c r="DH96"/>
      <c r="DI96"/>
      <c r="DJ96"/>
      <c r="DK96"/>
      <c r="DL96"/>
      <c r="DM96"/>
      <c r="DN96"/>
      <c r="DO96"/>
      <c r="DP96"/>
      <c r="DQ96"/>
      <c r="DR96"/>
      <c r="DS96"/>
      <c r="DT96"/>
      <c r="DU96"/>
      <c r="DV96"/>
      <c r="DW96"/>
      <c r="DX96"/>
      <c r="DY96"/>
      <c r="DZ96"/>
      <c r="EA96"/>
      <c r="EB96"/>
      <c r="EC96"/>
      <c r="ED96"/>
      <c r="EE96"/>
      <c r="EF96"/>
      <c r="EG96"/>
      <c r="EH96"/>
      <c r="EI96"/>
      <c r="EJ96"/>
      <c r="EK96"/>
      <c r="EL96"/>
      <c r="EM96"/>
      <c r="EN96"/>
      <c r="EO96"/>
      <c r="EP96"/>
      <c r="EQ96"/>
      <c r="ER96">
        <v>96</v>
      </c>
      <c r="ES96"/>
      <c r="ET96"/>
      <c r="EU96"/>
      <c r="EV96" s="439">
        <v>356</v>
      </c>
      <c r="EW96" t="s">
        <v>2808</v>
      </c>
      <c r="EX96" t="s">
        <v>1105</v>
      </c>
      <c r="EY96" t="s">
        <v>2610</v>
      </c>
      <c r="EZ96" t="s">
        <v>54</v>
      </c>
      <c r="FA96">
        <v>55337</v>
      </c>
      <c r="FB96">
        <v>1558313544</v>
      </c>
    </row>
    <row r="97" spans="1:158" x14ac:dyDescent="0.2">
      <c r="A97" s="439">
        <v>1459</v>
      </c>
      <c r="B97" t="s">
        <v>1389</v>
      </c>
      <c r="C97" t="s">
        <v>1390</v>
      </c>
      <c r="D97" t="s">
        <v>1391</v>
      </c>
      <c r="E97"/>
      <c r="F97" t="s">
        <v>1392</v>
      </c>
      <c r="G97" t="s">
        <v>54</v>
      </c>
      <c r="H97" s="576">
        <v>55063</v>
      </c>
      <c r="I97"/>
      <c r="J97" t="s">
        <v>1198</v>
      </c>
      <c r="K97"/>
      <c r="L97" t="s">
        <v>1195</v>
      </c>
      <c r="M97" t="s">
        <v>1197</v>
      </c>
      <c r="N97" t="s">
        <v>54</v>
      </c>
      <c r="O97" s="576">
        <v>56353</v>
      </c>
      <c r="P97"/>
      <c r="Q97">
        <v>3209836300</v>
      </c>
      <c r="R97">
        <v>3209836345</v>
      </c>
      <c r="S97" t="s">
        <v>1199</v>
      </c>
      <c r="T97" t="s">
        <v>1200</v>
      </c>
      <c r="U97" t="s">
        <v>1201</v>
      </c>
      <c r="V97" t="s">
        <v>1202</v>
      </c>
      <c r="W97"/>
      <c r="X97" t="s">
        <v>1203</v>
      </c>
      <c r="Y97" t="s">
        <v>1204</v>
      </c>
      <c r="Z97" t="s">
        <v>1205</v>
      </c>
      <c r="AA97" t="s">
        <v>1206</v>
      </c>
      <c r="AB97">
        <v>3209836325</v>
      </c>
      <c r="AC97"/>
      <c r="AD97">
        <v>3209836345</v>
      </c>
      <c r="AE97" t="s">
        <v>1207</v>
      </c>
      <c r="AF97" t="s">
        <v>1208</v>
      </c>
      <c r="AG97"/>
      <c r="AH97" t="s">
        <v>1195</v>
      </c>
      <c r="AI97" t="s">
        <v>1197</v>
      </c>
      <c r="AJ97" t="s">
        <v>54</v>
      </c>
      <c r="AK97" s="576">
        <v>56353</v>
      </c>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t="s">
        <v>1209</v>
      </c>
      <c r="CG97" t="s">
        <v>1210</v>
      </c>
      <c r="CH97"/>
      <c r="CI97"/>
      <c r="CJ97"/>
      <c r="CK97"/>
      <c r="CL97"/>
      <c r="CM97"/>
      <c r="CN97">
        <v>250</v>
      </c>
      <c r="CO97">
        <v>255</v>
      </c>
      <c r="CP97"/>
      <c r="CQ97"/>
      <c r="CR97"/>
      <c r="CS97" t="s">
        <v>788</v>
      </c>
      <c r="CT97">
        <v>12</v>
      </c>
      <c r="CU97"/>
      <c r="CV97"/>
      <c r="CW97"/>
      <c r="CX97"/>
      <c r="CY97"/>
      <c r="CZ97"/>
      <c r="DA97"/>
      <c r="DB97"/>
      <c r="DC97"/>
      <c r="DD97"/>
      <c r="DE97"/>
      <c r="DF97"/>
      <c r="DG97"/>
      <c r="DH97"/>
      <c r="DI97"/>
      <c r="DJ97"/>
      <c r="DK97"/>
      <c r="DL97"/>
      <c r="DM97"/>
      <c r="DN97"/>
      <c r="DO97"/>
      <c r="DP97"/>
      <c r="DQ97"/>
      <c r="DR97"/>
      <c r="DS97"/>
      <c r="DT97"/>
      <c r="DU97"/>
      <c r="DV97"/>
      <c r="DW97"/>
      <c r="DX97"/>
      <c r="DY97"/>
      <c r="DZ97"/>
      <c r="EA97"/>
      <c r="EB97"/>
      <c r="EC97"/>
      <c r="ED97"/>
      <c r="EE97"/>
      <c r="EF97"/>
      <c r="EG97"/>
      <c r="EH97"/>
      <c r="EI97"/>
      <c r="EJ97"/>
      <c r="EK97"/>
      <c r="EL97"/>
      <c r="EM97"/>
      <c r="EN97"/>
      <c r="EO97"/>
      <c r="EP97"/>
      <c r="EQ97"/>
      <c r="ER97">
        <v>96</v>
      </c>
      <c r="ES97"/>
      <c r="ET97"/>
      <c r="EU97"/>
      <c r="EV97" s="439">
        <v>515</v>
      </c>
      <c r="EW97" t="s">
        <v>2175</v>
      </c>
      <c r="EX97" t="s">
        <v>1105</v>
      </c>
      <c r="EY97" t="s">
        <v>2176</v>
      </c>
      <c r="EZ97" t="s">
        <v>54</v>
      </c>
      <c r="FA97">
        <v>55337</v>
      </c>
      <c r="FB97">
        <v>1780621904</v>
      </c>
    </row>
    <row r="98" spans="1:158" x14ac:dyDescent="0.2">
      <c r="A98" s="439">
        <v>1316</v>
      </c>
      <c r="B98" t="s">
        <v>1393</v>
      </c>
      <c r="C98" t="s">
        <v>866</v>
      </c>
      <c r="D98" t="s">
        <v>1394</v>
      </c>
      <c r="E98" t="s">
        <v>1395</v>
      </c>
      <c r="F98" t="s">
        <v>868</v>
      </c>
      <c r="G98" t="s">
        <v>54</v>
      </c>
      <c r="H98" s="576">
        <v>56308</v>
      </c>
      <c r="I98"/>
      <c r="J98" t="s">
        <v>1396</v>
      </c>
      <c r="K98" t="s">
        <v>911</v>
      </c>
      <c r="L98" t="s">
        <v>854</v>
      </c>
      <c r="M98" t="s">
        <v>855</v>
      </c>
      <c r="N98" t="s">
        <v>54</v>
      </c>
      <c r="O98" s="576">
        <v>56303</v>
      </c>
      <c r="P98"/>
      <c r="Q98">
        <v>3207635117</v>
      </c>
      <c r="R98">
        <v>3207635118</v>
      </c>
      <c r="S98" t="s">
        <v>1397</v>
      </c>
      <c r="T98" t="s">
        <v>1398</v>
      </c>
      <c r="U98" t="s">
        <v>1399</v>
      </c>
      <c r="V98" t="s">
        <v>1400</v>
      </c>
      <c r="W98" t="s">
        <v>1401</v>
      </c>
      <c r="X98" t="s">
        <v>790</v>
      </c>
      <c r="Y98" t="s">
        <v>1402</v>
      </c>
      <c r="Z98" t="s">
        <v>1403</v>
      </c>
      <c r="AA98" t="s">
        <v>1404</v>
      </c>
      <c r="AB98">
        <v>3202578247</v>
      </c>
      <c r="AC98"/>
      <c r="AD98">
        <v>3202527574</v>
      </c>
      <c r="AE98" t="s">
        <v>1405</v>
      </c>
      <c r="AF98" t="s">
        <v>1396</v>
      </c>
      <c r="AG98" t="s">
        <v>911</v>
      </c>
      <c r="AH98" t="s">
        <v>854</v>
      </c>
      <c r="AI98" t="s">
        <v>855</v>
      </c>
      <c r="AJ98" t="s">
        <v>54</v>
      </c>
      <c r="AK98" s="576">
        <v>56303</v>
      </c>
      <c r="AL98"/>
      <c r="AM98" t="s">
        <v>1406</v>
      </c>
      <c r="AN98" t="s">
        <v>1407</v>
      </c>
      <c r="AO98" t="s">
        <v>1408</v>
      </c>
      <c r="AP98" t="s">
        <v>1404</v>
      </c>
      <c r="AQ98">
        <v>3202523611</v>
      </c>
      <c r="AR98"/>
      <c r="AS98">
        <v>3202527574</v>
      </c>
      <c r="AT98" t="s">
        <v>1409</v>
      </c>
      <c r="AU98" t="s">
        <v>1396</v>
      </c>
      <c r="AV98" t="s">
        <v>911</v>
      </c>
      <c r="AW98" t="s">
        <v>854</v>
      </c>
      <c r="AX98" t="s">
        <v>855</v>
      </c>
      <c r="AY98" t="s">
        <v>54</v>
      </c>
      <c r="AZ98" s="576">
        <v>56303</v>
      </c>
      <c r="BA98"/>
      <c r="BB98"/>
      <c r="BC98"/>
      <c r="BD98"/>
      <c r="BE98"/>
      <c r="BF98"/>
      <c r="BG98"/>
      <c r="BH98"/>
      <c r="BI98"/>
      <c r="BJ98"/>
      <c r="BK98"/>
      <c r="BL98"/>
      <c r="BM98"/>
      <c r="BN98"/>
      <c r="BO98"/>
      <c r="BP98"/>
      <c r="BQ98" t="s">
        <v>1397</v>
      </c>
      <c r="BR98" t="s">
        <v>1398</v>
      </c>
      <c r="BS98" t="s">
        <v>1399</v>
      </c>
      <c r="BT98" t="s">
        <v>1404</v>
      </c>
      <c r="BU98">
        <v>3202578252</v>
      </c>
      <c r="BV98">
        <v>152</v>
      </c>
      <c r="BW98">
        <v>3202527574</v>
      </c>
      <c r="BX98" t="s">
        <v>1400</v>
      </c>
      <c r="BY98" t="s">
        <v>1396</v>
      </c>
      <c r="BZ98" t="s">
        <v>911</v>
      </c>
      <c r="CA98" t="s">
        <v>854</v>
      </c>
      <c r="CB98" t="s">
        <v>855</v>
      </c>
      <c r="CC98" t="s">
        <v>54</v>
      </c>
      <c r="CD98" s="576">
        <v>56303</v>
      </c>
      <c r="CE98"/>
      <c r="CF98" t="s">
        <v>1410</v>
      </c>
      <c r="CG98" t="s">
        <v>1404</v>
      </c>
      <c r="CH98" t="s">
        <v>56</v>
      </c>
      <c r="CI98"/>
      <c r="CJ98"/>
      <c r="CK98"/>
      <c r="CL98"/>
      <c r="CM98">
        <v>1598710477</v>
      </c>
      <c r="CN98">
        <v>2278</v>
      </c>
      <c r="CO98">
        <v>3206</v>
      </c>
      <c r="CP98">
        <v>3207</v>
      </c>
      <c r="CQ98"/>
      <c r="CR98">
        <v>3208</v>
      </c>
      <c r="CS98" t="s">
        <v>788</v>
      </c>
      <c r="CT98">
        <v>12</v>
      </c>
      <c r="CU98"/>
      <c r="CV98"/>
      <c r="CW98"/>
      <c r="CX98"/>
      <c r="CY98"/>
      <c r="CZ98"/>
      <c r="DA98"/>
      <c r="DB98"/>
      <c r="DC98"/>
      <c r="DD98"/>
      <c r="DE98"/>
      <c r="DF98"/>
      <c r="DG98"/>
      <c r="DH98"/>
      <c r="DI98"/>
      <c r="DJ98"/>
      <c r="DK98"/>
      <c r="DL98"/>
      <c r="DM98"/>
      <c r="DN98"/>
      <c r="DO98"/>
      <c r="DP98"/>
      <c r="DQ98"/>
      <c r="DR98"/>
      <c r="DS98"/>
      <c r="DT98"/>
      <c r="DU98"/>
      <c r="DV98"/>
      <c r="DW98"/>
      <c r="DX98"/>
      <c r="DY98"/>
      <c r="DZ98"/>
      <c r="EA98"/>
      <c r="EB98"/>
      <c r="EC98"/>
      <c r="ED98"/>
      <c r="EE98"/>
      <c r="EF98"/>
      <c r="EG98"/>
      <c r="EH98"/>
      <c r="EI98"/>
      <c r="EJ98"/>
      <c r="EK98"/>
      <c r="EL98"/>
      <c r="EM98"/>
      <c r="EN98"/>
      <c r="EO98"/>
      <c r="EP98"/>
      <c r="EQ98"/>
      <c r="ER98">
        <v>157</v>
      </c>
      <c r="ES98"/>
      <c r="ET98"/>
      <c r="EU98"/>
      <c r="EV98" s="439">
        <v>408</v>
      </c>
      <c r="EW98" t="s">
        <v>2809</v>
      </c>
      <c r="EX98" t="s">
        <v>1105</v>
      </c>
      <c r="EY98" t="s">
        <v>2810</v>
      </c>
      <c r="EZ98" t="s">
        <v>54</v>
      </c>
      <c r="FA98">
        <v>55337</v>
      </c>
      <c r="FB98">
        <v>1649827973</v>
      </c>
    </row>
    <row r="99" spans="1:158" x14ac:dyDescent="0.2">
      <c r="A99" s="439">
        <v>1810</v>
      </c>
      <c r="B99" t="s">
        <v>1411</v>
      </c>
      <c r="C99" t="s">
        <v>1289</v>
      </c>
      <c r="D99" t="s">
        <v>1412</v>
      </c>
      <c r="E99" t="s">
        <v>1413</v>
      </c>
      <c r="F99" t="s">
        <v>1291</v>
      </c>
      <c r="G99" t="s">
        <v>54</v>
      </c>
      <c r="H99" s="576">
        <v>55350</v>
      </c>
      <c r="I99" t="s">
        <v>749</v>
      </c>
      <c r="J99" t="s">
        <v>1396</v>
      </c>
      <c r="K99" t="s">
        <v>911</v>
      </c>
      <c r="L99" t="s">
        <v>854</v>
      </c>
      <c r="M99" t="s">
        <v>855</v>
      </c>
      <c r="N99" t="s">
        <v>54</v>
      </c>
      <c r="O99" s="576">
        <v>56303</v>
      </c>
      <c r="P99" t="s">
        <v>749</v>
      </c>
      <c r="Q99">
        <v>3202523611</v>
      </c>
      <c r="R99">
        <v>3202527574</v>
      </c>
      <c r="S99" t="s">
        <v>1397</v>
      </c>
      <c r="T99" t="s">
        <v>1398</v>
      </c>
      <c r="U99" t="s">
        <v>1399</v>
      </c>
      <c r="V99" t="s">
        <v>1400</v>
      </c>
      <c r="W99" t="s">
        <v>1414</v>
      </c>
      <c r="X99" t="s">
        <v>790</v>
      </c>
      <c r="Y99" t="s">
        <v>1402</v>
      </c>
      <c r="Z99" t="s">
        <v>1403</v>
      </c>
      <c r="AA99" t="s">
        <v>1404</v>
      </c>
      <c r="AB99">
        <v>3202578247</v>
      </c>
      <c r="AC99"/>
      <c r="AD99">
        <v>3202527574</v>
      </c>
      <c r="AE99" t="s">
        <v>1405</v>
      </c>
      <c r="AF99" t="s">
        <v>1396</v>
      </c>
      <c r="AG99" t="s">
        <v>911</v>
      </c>
      <c r="AH99" t="s">
        <v>854</v>
      </c>
      <c r="AI99" t="s">
        <v>855</v>
      </c>
      <c r="AJ99" t="s">
        <v>54</v>
      </c>
      <c r="AK99" s="576">
        <v>56303</v>
      </c>
      <c r="AL99"/>
      <c r="AM99" t="s">
        <v>1406</v>
      </c>
      <c r="AN99" t="s">
        <v>1407</v>
      </c>
      <c r="AO99" t="s">
        <v>1408</v>
      </c>
      <c r="AP99" t="s">
        <v>1404</v>
      </c>
      <c r="AQ99">
        <v>3202523611</v>
      </c>
      <c r="AR99"/>
      <c r="AS99">
        <v>3202527574</v>
      </c>
      <c r="AT99" t="s">
        <v>1409</v>
      </c>
      <c r="AU99" t="s">
        <v>1396</v>
      </c>
      <c r="AV99" t="s">
        <v>911</v>
      </c>
      <c r="AW99" t="s">
        <v>854</v>
      </c>
      <c r="AX99" t="s">
        <v>855</v>
      </c>
      <c r="AY99" t="s">
        <v>54</v>
      </c>
      <c r="AZ99" s="576">
        <v>56303</v>
      </c>
      <c r="BA99"/>
      <c r="BB99"/>
      <c r="BC99"/>
      <c r="BD99"/>
      <c r="BE99"/>
      <c r="BF99"/>
      <c r="BG99"/>
      <c r="BH99"/>
      <c r="BI99"/>
      <c r="BJ99"/>
      <c r="BK99"/>
      <c r="BL99"/>
      <c r="BM99"/>
      <c r="BN99"/>
      <c r="BO99"/>
      <c r="BP99"/>
      <c r="BQ99" t="s">
        <v>1397</v>
      </c>
      <c r="BR99" t="s">
        <v>1398</v>
      </c>
      <c r="BS99" t="s">
        <v>1399</v>
      </c>
      <c r="BT99" t="s">
        <v>1404</v>
      </c>
      <c r="BU99">
        <v>3202578252</v>
      </c>
      <c r="BV99">
        <v>152</v>
      </c>
      <c r="BW99">
        <v>3202527574</v>
      </c>
      <c r="BX99" t="s">
        <v>1400</v>
      </c>
      <c r="BY99" t="s">
        <v>1396</v>
      </c>
      <c r="BZ99" t="s">
        <v>911</v>
      </c>
      <c r="CA99" t="s">
        <v>854</v>
      </c>
      <c r="CB99" t="s">
        <v>855</v>
      </c>
      <c r="CC99" t="s">
        <v>54</v>
      </c>
      <c r="CD99" s="576">
        <v>56303</v>
      </c>
      <c r="CE99"/>
      <c r="CF99" t="s">
        <v>1415</v>
      </c>
      <c r="CG99" t="s">
        <v>1404</v>
      </c>
      <c r="CH99" t="s">
        <v>56</v>
      </c>
      <c r="CI99"/>
      <c r="CJ99"/>
      <c r="CK99"/>
      <c r="CL99"/>
      <c r="CM99">
        <v>1598710477</v>
      </c>
      <c r="CN99">
        <v>2782</v>
      </c>
      <c r="CO99">
        <v>3206</v>
      </c>
      <c r="CP99">
        <v>3207</v>
      </c>
      <c r="CQ99"/>
      <c r="CR99">
        <v>3208</v>
      </c>
      <c r="CS99" t="s">
        <v>788</v>
      </c>
      <c r="CT99">
        <v>12</v>
      </c>
      <c r="CU99"/>
      <c r="CV99"/>
      <c r="CW99"/>
      <c r="CX99" t="s">
        <v>749</v>
      </c>
      <c r="CY99"/>
      <c r="CZ99" t="s">
        <v>749</v>
      </c>
      <c r="DA99" t="s">
        <v>749</v>
      </c>
      <c r="DB99" t="s">
        <v>749</v>
      </c>
      <c r="DC99" t="s">
        <v>749</v>
      </c>
      <c r="DD99"/>
      <c r="DE99"/>
      <c r="DF99"/>
      <c r="DG99"/>
      <c r="DH99"/>
      <c r="DI99"/>
      <c r="DJ99"/>
      <c r="DK99"/>
      <c r="DL99"/>
      <c r="DM99"/>
      <c r="DN99"/>
      <c r="DO99"/>
      <c r="DP99"/>
      <c r="DQ99"/>
      <c r="DR99"/>
      <c r="DS99"/>
      <c r="DT99"/>
      <c r="DU99"/>
      <c r="DV99"/>
      <c r="DW99"/>
      <c r="DX99"/>
      <c r="DY99"/>
      <c r="DZ99"/>
      <c r="EA99"/>
      <c r="EB99"/>
      <c r="EC99"/>
      <c r="ED99"/>
      <c r="EE99"/>
      <c r="EF99"/>
      <c r="EG99"/>
      <c r="EH99"/>
      <c r="EI99"/>
      <c r="EJ99"/>
      <c r="EK99"/>
      <c r="EL99"/>
      <c r="EM99"/>
      <c r="EN99"/>
      <c r="EO99"/>
      <c r="EP99"/>
      <c r="EQ99"/>
      <c r="ER99">
        <v>157</v>
      </c>
      <c r="ES99"/>
      <c r="ET99"/>
      <c r="EU99"/>
      <c r="EV99" s="439">
        <v>909</v>
      </c>
      <c r="EW99" t="s">
        <v>2811</v>
      </c>
      <c r="EX99" t="s">
        <v>1105</v>
      </c>
      <c r="EY99" t="s">
        <v>2807</v>
      </c>
      <c r="EZ99" t="s">
        <v>54</v>
      </c>
      <c r="FA99"/>
      <c r="FB99"/>
    </row>
    <row r="100" spans="1:158" x14ac:dyDescent="0.2">
      <c r="A100" s="439">
        <v>1329</v>
      </c>
      <c r="B100" t="s">
        <v>1416</v>
      </c>
      <c r="C100" t="s">
        <v>1241</v>
      </c>
      <c r="D100" t="s">
        <v>1417</v>
      </c>
      <c r="E100" t="s">
        <v>911</v>
      </c>
      <c r="F100" t="s">
        <v>1243</v>
      </c>
      <c r="G100" t="s">
        <v>54</v>
      </c>
      <c r="H100" s="576">
        <v>55362</v>
      </c>
      <c r="I100"/>
      <c r="J100" t="s">
        <v>1396</v>
      </c>
      <c r="K100" t="s">
        <v>911</v>
      </c>
      <c r="L100" t="s">
        <v>854</v>
      </c>
      <c r="M100" t="s">
        <v>855</v>
      </c>
      <c r="N100" t="s">
        <v>54</v>
      </c>
      <c r="O100" s="576">
        <v>56303</v>
      </c>
      <c r="P100"/>
      <c r="Q100">
        <v>3202523611</v>
      </c>
      <c r="R100">
        <v>3202527574</v>
      </c>
      <c r="S100" t="s">
        <v>1397</v>
      </c>
      <c r="T100" t="s">
        <v>1398</v>
      </c>
      <c r="U100" t="s">
        <v>1399</v>
      </c>
      <c r="V100" t="s">
        <v>1400</v>
      </c>
      <c r="W100" t="s">
        <v>1401</v>
      </c>
      <c r="X100" t="s">
        <v>790</v>
      </c>
      <c r="Y100" t="s">
        <v>1402</v>
      </c>
      <c r="Z100" t="s">
        <v>1403</v>
      </c>
      <c r="AA100" t="s">
        <v>1404</v>
      </c>
      <c r="AB100">
        <v>3202578247</v>
      </c>
      <c r="AC100"/>
      <c r="AD100">
        <v>3202527574</v>
      </c>
      <c r="AE100" t="s">
        <v>1405</v>
      </c>
      <c r="AF100" t="s">
        <v>1396</v>
      </c>
      <c r="AG100" t="s">
        <v>911</v>
      </c>
      <c r="AH100" t="s">
        <v>854</v>
      </c>
      <c r="AI100" t="s">
        <v>855</v>
      </c>
      <c r="AJ100" t="s">
        <v>54</v>
      </c>
      <c r="AK100" s="576">
        <v>56303</v>
      </c>
      <c r="AL100"/>
      <c r="AM100" t="s">
        <v>1406</v>
      </c>
      <c r="AN100" t="s">
        <v>1407</v>
      </c>
      <c r="AO100" t="s">
        <v>1408</v>
      </c>
      <c r="AP100" t="s">
        <v>1404</v>
      </c>
      <c r="AQ100">
        <v>3202523611</v>
      </c>
      <c r="AR100"/>
      <c r="AS100">
        <v>3202527574</v>
      </c>
      <c r="AT100" t="s">
        <v>1409</v>
      </c>
      <c r="AU100" t="s">
        <v>1396</v>
      </c>
      <c r="AV100" t="s">
        <v>911</v>
      </c>
      <c r="AW100" t="s">
        <v>854</v>
      </c>
      <c r="AX100" t="s">
        <v>855</v>
      </c>
      <c r="AY100" t="s">
        <v>54</v>
      </c>
      <c r="AZ100" s="576">
        <v>56303</v>
      </c>
      <c r="BA100"/>
      <c r="BB100"/>
      <c r="BC100"/>
      <c r="BD100"/>
      <c r="BE100"/>
      <c r="BF100"/>
      <c r="BG100"/>
      <c r="BH100"/>
      <c r="BI100"/>
      <c r="BJ100"/>
      <c r="BK100"/>
      <c r="BL100"/>
      <c r="BM100"/>
      <c r="BN100"/>
      <c r="BO100"/>
      <c r="BP100"/>
      <c r="BQ100" t="s">
        <v>1397</v>
      </c>
      <c r="BR100" t="s">
        <v>1398</v>
      </c>
      <c r="BS100" t="s">
        <v>1399</v>
      </c>
      <c r="BT100" t="s">
        <v>1404</v>
      </c>
      <c r="BU100">
        <v>3202578252</v>
      </c>
      <c r="BV100">
        <v>152</v>
      </c>
      <c r="BW100">
        <v>3202527574</v>
      </c>
      <c r="BX100" t="s">
        <v>1400</v>
      </c>
      <c r="BY100" t="s">
        <v>1396</v>
      </c>
      <c r="BZ100" t="s">
        <v>911</v>
      </c>
      <c r="CA100" t="s">
        <v>854</v>
      </c>
      <c r="CB100" t="s">
        <v>855</v>
      </c>
      <c r="CC100" t="s">
        <v>54</v>
      </c>
      <c r="CD100" s="576">
        <v>56303</v>
      </c>
      <c r="CE100"/>
      <c r="CF100" t="s">
        <v>1410</v>
      </c>
      <c r="CG100" t="s">
        <v>1404</v>
      </c>
      <c r="CH100" t="s">
        <v>56</v>
      </c>
      <c r="CI100"/>
      <c r="CJ100"/>
      <c r="CK100"/>
      <c r="CL100"/>
      <c r="CM100">
        <v>1598710477</v>
      </c>
      <c r="CN100">
        <v>2313</v>
      </c>
      <c r="CO100">
        <v>3206</v>
      </c>
      <c r="CP100">
        <v>3207</v>
      </c>
      <c r="CQ100"/>
      <c r="CR100">
        <v>3208</v>
      </c>
      <c r="CS100" t="s">
        <v>788</v>
      </c>
      <c r="CT100">
        <v>12</v>
      </c>
      <c r="CU100"/>
      <c r="CV100"/>
      <c r="CW100"/>
      <c r="CX100"/>
      <c r="CY100"/>
      <c r="CZ100"/>
      <c r="DA100"/>
      <c r="DB100"/>
      <c r="DC100"/>
      <c r="DD100"/>
      <c r="DE100"/>
      <c r="DF100"/>
      <c r="DG100"/>
      <c r="DH100"/>
      <c r="DI100"/>
      <c r="DJ100"/>
      <c r="DK100"/>
      <c r="DL100"/>
      <c r="DM100"/>
      <c r="DN100"/>
      <c r="DO100"/>
      <c r="DP100"/>
      <c r="DQ100"/>
      <c r="DR100"/>
      <c r="DS100"/>
      <c r="DT100"/>
      <c r="DU100"/>
      <c r="DV100"/>
      <c r="DW100"/>
      <c r="DX100"/>
      <c r="DY100"/>
      <c r="DZ100"/>
      <c r="EA100"/>
      <c r="EB100"/>
      <c r="EC100"/>
      <c r="ED100"/>
      <c r="EE100"/>
      <c r="EF100"/>
      <c r="EG100"/>
      <c r="EH100"/>
      <c r="EI100"/>
      <c r="EJ100"/>
      <c r="EK100"/>
      <c r="EL100"/>
      <c r="EM100"/>
      <c r="EN100"/>
      <c r="EO100"/>
      <c r="EP100"/>
      <c r="EQ100"/>
      <c r="ER100">
        <v>157</v>
      </c>
      <c r="ES100"/>
      <c r="ET100"/>
      <c r="EU100"/>
      <c r="EV100" s="439">
        <v>388</v>
      </c>
      <c r="EW100" t="s">
        <v>2812</v>
      </c>
      <c r="EX100" t="s">
        <v>1105</v>
      </c>
      <c r="EY100" t="s">
        <v>1552</v>
      </c>
      <c r="EZ100" t="s">
        <v>54</v>
      </c>
      <c r="FA100">
        <v>55337</v>
      </c>
      <c r="FB100">
        <v>1215350509</v>
      </c>
    </row>
    <row r="101" spans="1:158" x14ac:dyDescent="0.2">
      <c r="A101" s="439">
        <v>1435</v>
      </c>
      <c r="B101" t="s">
        <v>1418</v>
      </c>
      <c r="C101" t="s">
        <v>1419</v>
      </c>
      <c r="D101" t="s">
        <v>1420</v>
      </c>
      <c r="E101" t="s">
        <v>749</v>
      </c>
      <c r="F101" t="s">
        <v>855</v>
      </c>
      <c r="G101" t="s">
        <v>54</v>
      </c>
      <c r="H101" s="576">
        <v>56377</v>
      </c>
      <c r="I101"/>
      <c r="J101" t="s">
        <v>1396</v>
      </c>
      <c r="K101" t="s">
        <v>911</v>
      </c>
      <c r="L101" t="s">
        <v>854</v>
      </c>
      <c r="M101" t="s">
        <v>855</v>
      </c>
      <c r="N101" t="s">
        <v>54</v>
      </c>
      <c r="O101" s="576">
        <v>56303</v>
      </c>
      <c r="P101"/>
      <c r="Q101">
        <v>3202523611</v>
      </c>
      <c r="R101">
        <v>3202527574</v>
      </c>
      <c r="S101" t="s">
        <v>1397</v>
      </c>
      <c r="T101" t="s">
        <v>1398</v>
      </c>
      <c r="U101" t="s">
        <v>1399</v>
      </c>
      <c r="V101" t="s">
        <v>1400</v>
      </c>
      <c r="W101" t="s">
        <v>1401</v>
      </c>
      <c r="X101" t="s">
        <v>790</v>
      </c>
      <c r="Y101" t="s">
        <v>1402</v>
      </c>
      <c r="Z101" t="s">
        <v>1403</v>
      </c>
      <c r="AA101" t="s">
        <v>1404</v>
      </c>
      <c r="AB101">
        <v>3202578247</v>
      </c>
      <c r="AC101"/>
      <c r="AD101">
        <v>3202527574</v>
      </c>
      <c r="AE101" t="s">
        <v>1405</v>
      </c>
      <c r="AF101" t="s">
        <v>1396</v>
      </c>
      <c r="AG101" t="s">
        <v>911</v>
      </c>
      <c r="AH101" t="s">
        <v>854</v>
      </c>
      <c r="AI101" t="s">
        <v>855</v>
      </c>
      <c r="AJ101" t="s">
        <v>54</v>
      </c>
      <c r="AK101" s="576">
        <v>56303</v>
      </c>
      <c r="AL101"/>
      <c r="AM101" t="s">
        <v>1406</v>
      </c>
      <c r="AN101" t="s">
        <v>1407</v>
      </c>
      <c r="AO101" t="s">
        <v>1408</v>
      </c>
      <c r="AP101" t="s">
        <v>1404</v>
      </c>
      <c r="AQ101">
        <v>3202523611</v>
      </c>
      <c r="AR101"/>
      <c r="AS101">
        <v>3202527574</v>
      </c>
      <c r="AT101" t="s">
        <v>1409</v>
      </c>
      <c r="AU101" t="s">
        <v>1396</v>
      </c>
      <c r="AV101" t="s">
        <v>911</v>
      </c>
      <c r="AW101" t="s">
        <v>854</v>
      </c>
      <c r="AX101" t="s">
        <v>855</v>
      </c>
      <c r="AY101" t="s">
        <v>54</v>
      </c>
      <c r="AZ101" s="576">
        <v>56303</v>
      </c>
      <c r="BA101"/>
      <c r="BB101"/>
      <c r="BC101"/>
      <c r="BD101"/>
      <c r="BE101"/>
      <c r="BF101"/>
      <c r="BG101"/>
      <c r="BH101"/>
      <c r="BI101"/>
      <c r="BJ101"/>
      <c r="BK101"/>
      <c r="BL101"/>
      <c r="BM101"/>
      <c r="BN101"/>
      <c r="BO101"/>
      <c r="BP101"/>
      <c r="BQ101" t="s">
        <v>1397</v>
      </c>
      <c r="BR101" t="s">
        <v>1398</v>
      </c>
      <c r="BS101" t="s">
        <v>1399</v>
      </c>
      <c r="BT101" t="s">
        <v>1404</v>
      </c>
      <c r="BU101">
        <v>3202578252</v>
      </c>
      <c r="BV101">
        <v>152</v>
      </c>
      <c r="BW101">
        <v>3202527574</v>
      </c>
      <c r="BX101" t="s">
        <v>1400</v>
      </c>
      <c r="BY101" t="s">
        <v>1396</v>
      </c>
      <c r="BZ101" t="s">
        <v>911</v>
      </c>
      <c r="CA101" t="s">
        <v>854</v>
      </c>
      <c r="CB101" t="s">
        <v>855</v>
      </c>
      <c r="CC101" t="s">
        <v>54</v>
      </c>
      <c r="CD101" s="576">
        <v>56303</v>
      </c>
      <c r="CE101"/>
      <c r="CF101" t="s">
        <v>1410</v>
      </c>
      <c r="CG101" t="s">
        <v>1404</v>
      </c>
      <c r="CH101" t="s">
        <v>56</v>
      </c>
      <c r="CI101"/>
      <c r="CJ101"/>
      <c r="CK101"/>
      <c r="CL101"/>
      <c r="CM101">
        <v>1598710477</v>
      </c>
      <c r="CN101">
        <v>3203</v>
      </c>
      <c r="CO101">
        <v>3206</v>
      </c>
      <c r="CP101">
        <v>3207</v>
      </c>
      <c r="CQ101"/>
      <c r="CR101">
        <v>3208</v>
      </c>
      <c r="CS101" t="s">
        <v>788</v>
      </c>
      <c r="CT101">
        <v>12</v>
      </c>
      <c r="CU101"/>
      <c r="CV101"/>
      <c r="CW101"/>
      <c r="CX101"/>
      <c r="CY101"/>
      <c r="CZ101"/>
      <c r="DA101"/>
      <c r="DB101"/>
      <c r="DC101"/>
      <c r="DD101"/>
      <c r="DE101"/>
      <c r="DF101"/>
      <c r="DG101"/>
      <c r="DH101"/>
      <c r="DI101"/>
      <c r="DJ101"/>
      <c r="DK101"/>
      <c r="DL101"/>
      <c r="DM101"/>
      <c r="DN101"/>
      <c r="DO101"/>
      <c r="DP101"/>
      <c r="DQ101"/>
      <c r="DR101"/>
      <c r="DS101"/>
      <c r="DT101"/>
      <c r="DU101"/>
      <c r="DV101"/>
      <c r="DW101"/>
      <c r="DX101"/>
      <c r="DY101"/>
      <c r="DZ101"/>
      <c r="EA101"/>
      <c r="EB101"/>
      <c r="EC101"/>
      <c r="ED101"/>
      <c r="EE101"/>
      <c r="EF101"/>
      <c r="EG101"/>
      <c r="EH101"/>
      <c r="EI101"/>
      <c r="EJ101"/>
      <c r="EK101"/>
      <c r="EL101"/>
      <c r="EM101"/>
      <c r="EN101"/>
      <c r="EO101"/>
      <c r="EP101"/>
      <c r="EQ101"/>
      <c r="ER101">
        <v>157</v>
      </c>
      <c r="ES101"/>
      <c r="ET101"/>
      <c r="EU101"/>
      <c r="EV101" s="439">
        <v>709</v>
      </c>
      <c r="EW101" t="s">
        <v>2609</v>
      </c>
      <c r="EX101" t="s">
        <v>1105</v>
      </c>
      <c r="EY101" t="s">
        <v>2610</v>
      </c>
      <c r="EZ101" t="s">
        <v>54</v>
      </c>
      <c r="FA101">
        <v>55337</v>
      </c>
      <c r="FB101">
        <v>1164474250</v>
      </c>
    </row>
    <row r="102" spans="1:158" x14ac:dyDescent="0.2">
      <c r="A102" s="439">
        <v>580</v>
      </c>
      <c r="B102" t="s">
        <v>1421</v>
      </c>
      <c r="C102" t="s">
        <v>854</v>
      </c>
      <c r="D102" t="s">
        <v>1396</v>
      </c>
      <c r="E102" t="s">
        <v>911</v>
      </c>
      <c r="F102" t="s">
        <v>855</v>
      </c>
      <c r="G102" t="s">
        <v>54</v>
      </c>
      <c r="H102" s="576">
        <v>56303</v>
      </c>
      <c r="I102"/>
      <c r="J102" t="s">
        <v>1396</v>
      </c>
      <c r="K102" t="s">
        <v>911</v>
      </c>
      <c r="L102" t="s">
        <v>854</v>
      </c>
      <c r="M102" t="s">
        <v>855</v>
      </c>
      <c r="N102" t="s">
        <v>54</v>
      </c>
      <c r="O102" s="576">
        <v>56303</v>
      </c>
      <c r="P102"/>
      <c r="Q102">
        <v>3202523611</v>
      </c>
      <c r="R102">
        <v>3202527574</v>
      </c>
      <c r="S102" t="s">
        <v>1397</v>
      </c>
      <c r="T102" t="s">
        <v>1398</v>
      </c>
      <c r="U102" t="s">
        <v>1399</v>
      </c>
      <c r="V102" t="s">
        <v>1400</v>
      </c>
      <c r="W102" t="s">
        <v>1401</v>
      </c>
      <c r="X102" t="s">
        <v>790</v>
      </c>
      <c r="Y102" t="s">
        <v>1402</v>
      </c>
      <c r="Z102" t="s">
        <v>1403</v>
      </c>
      <c r="AA102" t="s">
        <v>1404</v>
      </c>
      <c r="AB102">
        <v>3202578247</v>
      </c>
      <c r="AC102"/>
      <c r="AD102">
        <v>3202527574</v>
      </c>
      <c r="AE102" t="s">
        <v>1405</v>
      </c>
      <c r="AF102" t="s">
        <v>1396</v>
      </c>
      <c r="AG102" t="s">
        <v>911</v>
      </c>
      <c r="AH102" t="s">
        <v>854</v>
      </c>
      <c r="AI102" t="s">
        <v>855</v>
      </c>
      <c r="AJ102" t="s">
        <v>54</v>
      </c>
      <c r="AK102" s="576">
        <v>56303</v>
      </c>
      <c r="AL102"/>
      <c r="AM102" t="s">
        <v>1406</v>
      </c>
      <c r="AN102" t="s">
        <v>1407</v>
      </c>
      <c r="AO102" t="s">
        <v>1408</v>
      </c>
      <c r="AP102" t="s">
        <v>1404</v>
      </c>
      <c r="AQ102">
        <v>3202523611</v>
      </c>
      <c r="AR102"/>
      <c r="AS102">
        <v>3202527574</v>
      </c>
      <c r="AT102" t="s">
        <v>1409</v>
      </c>
      <c r="AU102" t="s">
        <v>1396</v>
      </c>
      <c r="AV102" t="s">
        <v>911</v>
      </c>
      <c r="AW102" t="s">
        <v>854</v>
      </c>
      <c r="AX102" t="s">
        <v>855</v>
      </c>
      <c r="AY102" t="s">
        <v>54</v>
      </c>
      <c r="AZ102" s="576">
        <v>56303</v>
      </c>
      <c r="BA102"/>
      <c r="BB102"/>
      <c r="BC102"/>
      <c r="BD102"/>
      <c r="BE102"/>
      <c r="BF102"/>
      <c r="BG102"/>
      <c r="BH102"/>
      <c r="BI102"/>
      <c r="BJ102"/>
      <c r="BK102"/>
      <c r="BL102"/>
      <c r="BM102"/>
      <c r="BN102"/>
      <c r="BO102"/>
      <c r="BP102"/>
      <c r="BQ102" t="s">
        <v>1397</v>
      </c>
      <c r="BR102" t="s">
        <v>1398</v>
      </c>
      <c r="BS102" t="s">
        <v>1399</v>
      </c>
      <c r="BT102" t="s">
        <v>1404</v>
      </c>
      <c r="BU102">
        <v>3202578252</v>
      </c>
      <c r="BV102">
        <v>152</v>
      </c>
      <c r="BW102">
        <v>3202527574</v>
      </c>
      <c r="BX102" t="s">
        <v>1400</v>
      </c>
      <c r="BY102" t="s">
        <v>1396</v>
      </c>
      <c r="BZ102" t="s">
        <v>911</v>
      </c>
      <c r="CA102" t="s">
        <v>854</v>
      </c>
      <c r="CB102" t="s">
        <v>855</v>
      </c>
      <c r="CC102" t="s">
        <v>54</v>
      </c>
      <c r="CD102" s="576">
        <v>56303</v>
      </c>
      <c r="CE102"/>
      <c r="CF102" t="s">
        <v>1410</v>
      </c>
      <c r="CG102" t="s">
        <v>1404</v>
      </c>
      <c r="CH102" t="s">
        <v>56</v>
      </c>
      <c r="CI102"/>
      <c r="CJ102"/>
      <c r="CK102"/>
      <c r="CL102"/>
      <c r="CM102">
        <v>1598710477</v>
      </c>
      <c r="CN102">
        <v>3152</v>
      </c>
      <c r="CO102">
        <v>3206</v>
      </c>
      <c r="CP102">
        <v>3207</v>
      </c>
      <c r="CQ102"/>
      <c r="CR102">
        <v>3208</v>
      </c>
      <c r="CS102" t="s">
        <v>788</v>
      </c>
      <c r="CT102">
        <v>12</v>
      </c>
      <c r="CU102"/>
      <c r="CV102"/>
      <c r="CW102"/>
      <c r="CX102"/>
      <c r="CY102"/>
      <c r="CZ102"/>
      <c r="DA102"/>
      <c r="DB102"/>
      <c r="DC102"/>
      <c r="DD102"/>
      <c r="DE102"/>
      <c r="DF102"/>
      <c r="DG102"/>
      <c r="DH102"/>
      <c r="DI102"/>
      <c r="DJ102"/>
      <c r="DK102"/>
      <c r="DL102"/>
      <c r="DM102"/>
      <c r="DN102"/>
      <c r="DO102"/>
      <c r="DP102"/>
      <c r="DQ102"/>
      <c r="DR102"/>
      <c r="DS102"/>
      <c r="DT102"/>
      <c r="DU102"/>
      <c r="DV102"/>
      <c r="DW102"/>
      <c r="DX102"/>
      <c r="DY102"/>
      <c r="DZ102"/>
      <c r="EA102"/>
      <c r="EB102"/>
      <c r="EC102"/>
      <c r="ED102"/>
      <c r="EE102"/>
      <c r="EF102"/>
      <c r="EG102"/>
      <c r="EH102"/>
      <c r="EI102"/>
      <c r="EJ102"/>
      <c r="EK102"/>
      <c r="EL102"/>
      <c r="EM102"/>
      <c r="EN102"/>
      <c r="EO102"/>
      <c r="EP102"/>
      <c r="EQ102"/>
      <c r="ER102">
        <v>157</v>
      </c>
      <c r="ES102"/>
      <c r="ET102"/>
      <c r="EU102"/>
      <c r="EV102" s="439">
        <v>13</v>
      </c>
      <c r="EW102" t="s">
        <v>2813</v>
      </c>
      <c r="EX102" t="s">
        <v>2814</v>
      </c>
      <c r="EY102" t="s">
        <v>2815</v>
      </c>
      <c r="EZ102" t="s">
        <v>54</v>
      </c>
      <c r="FA102">
        <v>55008</v>
      </c>
      <c r="FB102">
        <v>1568427383</v>
      </c>
    </row>
    <row r="103" spans="1:158" x14ac:dyDescent="0.2">
      <c r="A103" s="439">
        <v>300</v>
      </c>
      <c r="B103" t="s">
        <v>1422</v>
      </c>
      <c r="C103" t="s">
        <v>735</v>
      </c>
      <c r="D103" t="s">
        <v>1423</v>
      </c>
      <c r="E103"/>
      <c r="F103" t="s">
        <v>744</v>
      </c>
      <c r="G103" t="s">
        <v>54</v>
      </c>
      <c r="H103" s="576">
        <v>55343</v>
      </c>
      <c r="I103"/>
      <c r="J103" t="s">
        <v>1423</v>
      </c>
      <c r="K103" t="s">
        <v>870</v>
      </c>
      <c r="L103" t="s">
        <v>735</v>
      </c>
      <c r="M103" t="s">
        <v>744</v>
      </c>
      <c r="N103" t="s">
        <v>54</v>
      </c>
      <c r="O103" s="576">
        <v>55343</v>
      </c>
      <c r="P103"/>
      <c r="Q103">
        <v>9529308600</v>
      </c>
      <c r="R103">
        <v>9529308650</v>
      </c>
      <c r="S103" t="s">
        <v>1424</v>
      </c>
      <c r="T103" t="s">
        <v>1425</v>
      </c>
      <c r="U103" t="s">
        <v>1426</v>
      </c>
      <c r="V103" t="s">
        <v>1427</v>
      </c>
      <c r="W103" t="s">
        <v>1428</v>
      </c>
      <c r="X103" t="s">
        <v>1429</v>
      </c>
      <c r="Y103" t="s">
        <v>1430</v>
      </c>
      <c r="Z103" t="s">
        <v>1431</v>
      </c>
      <c r="AA103" t="s">
        <v>1422</v>
      </c>
      <c r="AB103">
        <v>6124816558</v>
      </c>
      <c r="AC103"/>
      <c r="AD103">
        <v>9529925600</v>
      </c>
      <c r="AE103" t="s">
        <v>1432</v>
      </c>
      <c r="AF103" t="s">
        <v>1433</v>
      </c>
      <c r="AG103"/>
      <c r="AH103" t="s">
        <v>967</v>
      </c>
      <c r="AI103" t="s">
        <v>744</v>
      </c>
      <c r="AJ103" t="s">
        <v>54</v>
      </c>
      <c r="AK103" s="576">
        <v>55436</v>
      </c>
      <c r="AL103"/>
      <c r="AM103" t="s">
        <v>1434</v>
      </c>
      <c r="AN103" t="s">
        <v>1087</v>
      </c>
      <c r="AO103" t="s">
        <v>1435</v>
      </c>
      <c r="AP103" t="s">
        <v>1422</v>
      </c>
      <c r="AQ103">
        <v>6512206973</v>
      </c>
      <c r="AR103"/>
      <c r="AS103">
        <v>6128137891</v>
      </c>
      <c r="AT103" t="s">
        <v>1436</v>
      </c>
      <c r="AU103" t="s">
        <v>1423</v>
      </c>
      <c r="AV103"/>
      <c r="AW103" t="s">
        <v>735</v>
      </c>
      <c r="AX103" t="s">
        <v>744</v>
      </c>
      <c r="AY103" t="s">
        <v>54</v>
      </c>
      <c r="AZ103" s="576">
        <v>55343</v>
      </c>
      <c r="BA103"/>
      <c r="BB103"/>
      <c r="BC103"/>
      <c r="BD103"/>
      <c r="BE103"/>
      <c r="BF103"/>
      <c r="BG103"/>
      <c r="BH103"/>
      <c r="BI103"/>
      <c r="BJ103"/>
      <c r="BK103"/>
      <c r="BL103"/>
      <c r="BM103"/>
      <c r="BN103"/>
      <c r="BO103"/>
      <c r="BP103"/>
      <c r="BQ103" t="s">
        <v>1429</v>
      </c>
      <c r="BR103" t="s">
        <v>1430</v>
      </c>
      <c r="BS103" t="s">
        <v>1431</v>
      </c>
      <c r="BT103" t="s">
        <v>1422</v>
      </c>
      <c r="BU103">
        <v>6124816558</v>
      </c>
      <c r="BV103"/>
      <c r="BW103">
        <v>9529925600</v>
      </c>
      <c r="BX103" t="s">
        <v>1432</v>
      </c>
      <c r="BY103" t="s">
        <v>1433</v>
      </c>
      <c r="BZ103"/>
      <c r="CA103" t="s">
        <v>967</v>
      </c>
      <c r="CB103" t="s">
        <v>744</v>
      </c>
      <c r="CC103" t="s">
        <v>54</v>
      </c>
      <c r="CD103" s="576">
        <v>55436</v>
      </c>
      <c r="CE103"/>
      <c r="CF103" t="s">
        <v>1437</v>
      </c>
      <c r="CG103" t="s">
        <v>1438</v>
      </c>
      <c r="CH103" t="s">
        <v>141</v>
      </c>
      <c r="CI103"/>
      <c r="CJ103"/>
      <c r="CK103"/>
      <c r="CL103"/>
      <c r="CM103">
        <v>1952405284</v>
      </c>
      <c r="CN103">
        <v>364</v>
      </c>
      <c r="CO103">
        <v>136</v>
      </c>
      <c r="CP103">
        <v>138</v>
      </c>
      <c r="CQ103"/>
      <c r="CR103">
        <v>136</v>
      </c>
      <c r="CS103" t="s">
        <v>788</v>
      </c>
      <c r="CT103">
        <v>12</v>
      </c>
      <c r="CU103"/>
      <c r="CV103">
        <v>411889375</v>
      </c>
      <c r="CW103"/>
      <c r="CX103"/>
      <c r="CY103"/>
      <c r="CZ103"/>
      <c r="DA103"/>
      <c r="DB103"/>
      <c r="DC103"/>
      <c r="DD103">
        <v>128</v>
      </c>
      <c r="DE103" t="s">
        <v>1439</v>
      </c>
      <c r="DF103"/>
      <c r="DG103"/>
      <c r="DH103"/>
      <c r="DI103"/>
      <c r="DJ103"/>
      <c r="DK103"/>
      <c r="DL103"/>
      <c r="DM103"/>
      <c r="DN103"/>
      <c r="DO103"/>
      <c r="DP103"/>
      <c r="DQ103"/>
      <c r="DR103"/>
      <c r="DS103"/>
      <c r="DT103"/>
      <c r="DU103"/>
      <c r="DV103"/>
      <c r="DW103"/>
      <c r="DX103"/>
      <c r="DY103"/>
      <c r="DZ103"/>
      <c r="EA103"/>
      <c r="EB103"/>
      <c r="EC103"/>
      <c r="ED103"/>
      <c r="EE103"/>
      <c r="EF103"/>
      <c r="EG103"/>
      <c r="EH103"/>
      <c r="EI103"/>
      <c r="EJ103"/>
      <c r="EK103"/>
      <c r="EL103"/>
      <c r="EM103"/>
      <c r="EN103"/>
      <c r="EO103"/>
      <c r="EP103"/>
      <c r="EQ103"/>
      <c r="ER103">
        <v>9</v>
      </c>
      <c r="ES103"/>
      <c r="ET103"/>
      <c r="EU103"/>
      <c r="EV103" s="439">
        <v>14</v>
      </c>
      <c r="EW103" t="s">
        <v>2816</v>
      </c>
      <c r="EX103" t="s">
        <v>2817</v>
      </c>
      <c r="EY103" t="s">
        <v>2818</v>
      </c>
      <c r="EZ103" t="s">
        <v>54</v>
      </c>
      <c r="FA103">
        <v>56220</v>
      </c>
      <c r="FB103">
        <v>1780781054</v>
      </c>
    </row>
    <row r="104" spans="1:158" x14ac:dyDescent="0.2">
      <c r="A104" s="439">
        <v>523</v>
      </c>
      <c r="B104" t="s">
        <v>1440</v>
      </c>
      <c r="C104" t="s">
        <v>1278</v>
      </c>
      <c r="D104" t="s">
        <v>1441</v>
      </c>
      <c r="E104"/>
      <c r="F104" t="s">
        <v>1280</v>
      </c>
      <c r="G104" t="s">
        <v>54</v>
      </c>
      <c r="H104" s="576">
        <v>56501</v>
      </c>
      <c r="I104"/>
      <c r="J104" t="s">
        <v>1441</v>
      </c>
      <c r="K104"/>
      <c r="L104" t="s">
        <v>1278</v>
      </c>
      <c r="M104" t="s">
        <v>1280</v>
      </c>
      <c r="N104" t="s">
        <v>54</v>
      </c>
      <c r="O104" s="576">
        <v>56501</v>
      </c>
      <c r="P104"/>
      <c r="Q104">
        <v>2188476316</v>
      </c>
      <c r="R104">
        <v>2188476303</v>
      </c>
      <c r="S104" t="s">
        <v>1442</v>
      </c>
      <c r="T104" t="s">
        <v>1443</v>
      </c>
      <c r="U104" t="s">
        <v>1201</v>
      </c>
      <c r="V104" t="s">
        <v>1444</v>
      </c>
      <c r="W104" t="s">
        <v>749</v>
      </c>
      <c r="X104" t="s">
        <v>1445</v>
      </c>
      <c r="Y104" t="s">
        <v>1446</v>
      </c>
      <c r="Z104" t="s">
        <v>1447</v>
      </c>
      <c r="AA104" t="s">
        <v>1448</v>
      </c>
      <c r="AB104">
        <v>7015516907</v>
      </c>
      <c r="AC104"/>
      <c r="AD104">
        <v>7012349466</v>
      </c>
      <c r="AE104" t="s">
        <v>1449</v>
      </c>
      <c r="AF104" t="s">
        <v>1450</v>
      </c>
      <c r="AG104" t="s">
        <v>1451</v>
      </c>
      <c r="AH104" t="s">
        <v>1452</v>
      </c>
      <c r="AI104" t="s">
        <v>1453</v>
      </c>
      <c r="AJ104" t="s">
        <v>992</v>
      </c>
      <c r="AK104" s="576">
        <v>58104</v>
      </c>
      <c r="AL104" s="576">
        <v>6278</v>
      </c>
      <c r="AM104" t="s">
        <v>1454</v>
      </c>
      <c r="AN104" t="s">
        <v>1455</v>
      </c>
      <c r="AO104" t="s">
        <v>1456</v>
      </c>
      <c r="AP104" t="s">
        <v>1457</v>
      </c>
      <c r="AQ104"/>
      <c r="AR104"/>
      <c r="AS104"/>
      <c r="AT104" t="s">
        <v>1458</v>
      </c>
      <c r="AU104" t="s">
        <v>1450</v>
      </c>
      <c r="AV104" t="s">
        <v>1451</v>
      </c>
      <c r="AW104" t="s">
        <v>1452</v>
      </c>
      <c r="AX104" t="s">
        <v>1453</v>
      </c>
      <c r="AY104" t="s">
        <v>992</v>
      </c>
      <c r="AZ104" s="576">
        <v>58104</v>
      </c>
      <c r="BA104" s="576">
        <v>6278</v>
      </c>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t="s">
        <v>1459</v>
      </c>
      <c r="CG104" t="s">
        <v>1448</v>
      </c>
      <c r="CH104" t="s">
        <v>141</v>
      </c>
      <c r="CI104"/>
      <c r="CJ104"/>
      <c r="CK104"/>
      <c r="CL104"/>
      <c r="CM104">
        <v>1023039278</v>
      </c>
      <c r="CN104">
        <v>325</v>
      </c>
      <c r="CO104">
        <v>168</v>
      </c>
      <c r="CP104">
        <v>313</v>
      </c>
      <c r="CQ104"/>
      <c r="CR104"/>
      <c r="CS104" t="s">
        <v>788</v>
      </c>
      <c r="CT104">
        <v>12</v>
      </c>
      <c r="CU104"/>
      <c r="CV104"/>
      <c r="CW104"/>
      <c r="CX104"/>
      <c r="CY104"/>
      <c r="CZ104"/>
      <c r="DA104"/>
      <c r="DB104"/>
      <c r="DC104"/>
      <c r="DD104">
        <v>128</v>
      </c>
      <c r="DE104" t="s">
        <v>1460</v>
      </c>
      <c r="DF104"/>
      <c r="DG104"/>
      <c r="DH104"/>
      <c r="DI104"/>
      <c r="DJ104"/>
      <c r="DK104"/>
      <c r="DL104"/>
      <c r="DM104"/>
      <c r="DN104"/>
      <c r="DO104"/>
      <c r="DP104"/>
      <c r="DQ104"/>
      <c r="DR104"/>
      <c r="DS104"/>
      <c r="DT104"/>
      <c r="DU104"/>
      <c r="DV104"/>
      <c r="DW104"/>
      <c r="DX104"/>
      <c r="DY104"/>
      <c r="DZ104"/>
      <c r="EA104"/>
      <c r="EB104"/>
      <c r="EC104"/>
      <c r="ED104"/>
      <c r="EE104"/>
      <c r="EF104"/>
      <c r="EG104"/>
      <c r="EH104"/>
      <c r="EI104"/>
      <c r="EJ104"/>
      <c r="EK104"/>
      <c r="EL104"/>
      <c r="EM104"/>
      <c r="EN104"/>
      <c r="EO104"/>
      <c r="EP104"/>
      <c r="EQ104"/>
      <c r="ER104">
        <v>49</v>
      </c>
      <c r="ES104"/>
      <c r="ET104"/>
      <c r="EU104"/>
      <c r="EV104" s="439">
        <v>15</v>
      </c>
      <c r="EW104" t="s">
        <v>2819</v>
      </c>
      <c r="EX104" t="s">
        <v>2820</v>
      </c>
      <c r="EY104" t="s">
        <v>2821</v>
      </c>
      <c r="EZ104" t="s">
        <v>54</v>
      </c>
      <c r="FA104">
        <v>55009</v>
      </c>
      <c r="FB104">
        <v>1063435410</v>
      </c>
    </row>
    <row r="105" spans="1:158" x14ac:dyDescent="0.2">
      <c r="A105" s="439">
        <v>1168</v>
      </c>
      <c r="B105" t="s">
        <v>1461</v>
      </c>
      <c r="C105" t="s">
        <v>724</v>
      </c>
      <c r="D105" t="s">
        <v>1462</v>
      </c>
      <c r="E105"/>
      <c r="F105" t="s">
        <v>727</v>
      </c>
      <c r="G105" t="s">
        <v>54</v>
      </c>
      <c r="H105" s="576">
        <v>56425</v>
      </c>
      <c r="I105"/>
      <c r="J105" t="s">
        <v>1267</v>
      </c>
      <c r="K105"/>
      <c r="L105" t="s">
        <v>1266</v>
      </c>
      <c r="M105" t="s">
        <v>727</v>
      </c>
      <c r="N105" t="s">
        <v>54</v>
      </c>
      <c r="O105" s="576">
        <v>55441</v>
      </c>
      <c r="P105"/>
      <c r="Q105">
        <v>2185467000</v>
      </c>
      <c r="R105"/>
      <c r="S105" t="s">
        <v>1463</v>
      </c>
      <c r="T105" t="s">
        <v>1464</v>
      </c>
      <c r="U105" t="s">
        <v>742</v>
      </c>
      <c r="V105" t="s">
        <v>1465</v>
      </c>
      <c r="W105" t="s">
        <v>1466</v>
      </c>
      <c r="X105" t="s">
        <v>1467</v>
      </c>
      <c r="Y105" t="s">
        <v>1468</v>
      </c>
      <c r="Z105" t="s">
        <v>1469</v>
      </c>
      <c r="AA105" t="s">
        <v>1461</v>
      </c>
      <c r="AB105">
        <v>2185462385</v>
      </c>
      <c r="AC105"/>
      <c r="AD105">
        <v>2185464355</v>
      </c>
      <c r="AE105" t="s">
        <v>1470</v>
      </c>
      <c r="AF105" t="s">
        <v>1267</v>
      </c>
      <c r="AG105"/>
      <c r="AH105" t="s">
        <v>1266</v>
      </c>
      <c r="AI105" t="s">
        <v>727</v>
      </c>
      <c r="AJ105" t="s">
        <v>54</v>
      </c>
      <c r="AK105" s="576">
        <v>55441</v>
      </c>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t="s">
        <v>1471</v>
      </c>
      <c r="CG105" t="s">
        <v>907</v>
      </c>
      <c r="CH105" t="s">
        <v>141</v>
      </c>
      <c r="CI105"/>
      <c r="CJ105"/>
      <c r="CK105"/>
      <c r="CL105"/>
      <c r="CM105">
        <v>1538143896</v>
      </c>
      <c r="CN105">
        <v>1750</v>
      </c>
      <c r="CO105">
        <v>1724</v>
      </c>
      <c r="CP105"/>
      <c r="CQ105"/>
      <c r="CR105"/>
      <c r="CS105" t="s">
        <v>788</v>
      </c>
      <c r="CT105">
        <v>12</v>
      </c>
      <c r="CU105"/>
      <c r="CV105"/>
      <c r="CW105"/>
      <c r="CX105"/>
      <c r="CY105"/>
      <c r="CZ105"/>
      <c r="DA105"/>
      <c r="DB105"/>
      <c r="DC105"/>
      <c r="DD105"/>
      <c r="DE105"/>
      <c r="DF105"/>
      <c r="DG105"/>
      <c r="DH105">
        <v>129</v>
      </c>
      <c r="DI105" t="s">
        <v>1472</v>
      </c>
      <c r="DJ105"/>
      <c r="DK105"/>
      <c r="DL105"/>
      <c r="DM105"/>
      <c r="DN105"/>
      <c r="DO105"/>
      <c r="DP105"/>
      <c r="DQ105"/>
      <c r="DR105"/>
      <c r="DS105"/>
      <c r="DT105"/>
      <c r="DU105"/>
      <c r="DV105"/>
      <c r="DW105"/>
      <c r="DX105"/>
      <c r="DY105"/>
      <c r="DZ105"/>
      <c r="EA105"/>
      <c r="EB105"/>
      <c r="EC105"/>
      <c r="ED105"/>
      <c r="EE105"/>
      <c r="EF105"/>
      <c r="EG105"/>
      <c r="EH105"/>
      <c r="EI105"/>
      <c r="EJ105"/>
      <c r="EK105"/>
      <c r="EL105"/>
      <c r="EM105"/>
      <c r="EN105"/>
      <c r="EO105"/>
      <c r="EP105"/>
      <c r="EQ105"/>
      <c r="ER105">
        <v>2</v>
      </c>
      <c r="ES105"/>
      <c r="ET105"/>
      <c r="EU105"/>
      <c r="EV105" s="439">
        <v>1659</v>
      </c>
      <c r="EW105" t="s">
        <v>2561</v>
      </c>
      <c r="EX105" t="s">
        <v>2562</v>
      </c>
      <c r="EY105" t="s">
        <v>2563</v>
      </c>
      <c r="EZ105" t="s">
        <v>2222</v>
      </c>
      <c r="FA105">
        <v>33914</v>
      </c>
      <c r="FB105"/>
    </row>
    <row r="106" spans="1:158" x14ac:dyDescent="0.2">
      <c r="A106" s="439">
        <v>1452</v>
      </c>
      <c r="B106" t="s">
        <v>1473</v>
      </c>
      <c r="C106" t="s">
        <v>1474</v>
      </c>
      <c r="D106" t="s">
        <v>1475</v>
      </c>
      <c r="E106" t="s">
        <v>749</v>
      </c>
      <c r="F106"/>
      <c r="G106" t="s">
        <v>1476</v>
      </c>
      <c r="H106" s="576">
        <v>48842</v>
      </c>
      <c r="I106" t="s">
        <v>749</v>
      </c>
      <c r="J106" t="s">
        <v>1475</v>
      </c>
      <c r="K106" t="s">
        <v>749</v>
      </c>
      <c r="L106" t="s">
        <v>1474</v>
      </c>
      <c r="M106"/>
      <c r="N106" t="s">
        <v>1476</v>
      </c>
      <c r="O106" s="576">
        <v>48842</v>
      </c>
      <c r="P106" t="s">
        <v>749</v>
      </c>
      <c r="Q106">
        <v>5176688800</v>
      </c>
      <c r="R106"/>
      <c r="S106" t="s">
        <v>749</v>
      </c>
      <c r="T106" t="s">
        <v>749</v>
      </c>
      <c r="U106" t="s">
        <v>749</v>
      </c>
      <c r="V106"/>
      <c r="W106" t="s">
        <v>749</v>
      </c>
      <c r="X106" t="s">
        <v>1477</v>
      </c>
      <c r="Y106" t="s">
        <v>1478</v>
      </c>
      <c r="Z106" t="s">
        <v>1479</v>
      </c>
      <c r="AA106" t="s">
        <v>1480</v>
      </c>
      <c r="AB106">
        <v>5173253517</v>
      </c>
      <c r="AC106"/>
      <c r="AD106">
        <v>5176688899</v>
      </c>
      <c r="AE106" t="s">
        <v>1481</v>
      </c>
      <c r="AF106" t="s">
        <v>1475</v>
      </c>
      <c r="AG106" t="s">
        <v>749</v>
      </c>
      <c r="AH106" t="s">
        <v>1474</v>
      </c>
      <c r="AI106"/>
      <c r="AJ106" t="s">
        <v>1476</v>
      </c>
      <c r="AK106" s="576">
        <v>48842</v>
      </c>
      <c r="AL106" t="s">
        <v>749</v>
      </c>
      <c r="AM106" t="s">
        <v>1482</v>
      </c>
      <c r="AN106" t="s">
        <v>1483</v>
      </c>
      <c r="AO106" t="s">
        <v>1484</v>
      </c>
      <c r="AP106" t="s">
        <v>1485</v>
      </c>
      <c r="AQ106"/>
      <c r="AR106"/>
      <c r="AS106">
        <v>5176688899</v>
      </c>
      <c r="AT106" t="s">
        <v>1486</v>
      </c>
      <c r="AU106" t="s">
        <v>1475</v>
      </c>
      <c r="AV106" t="s">
        <v>749</v>
      </c>
      <c r="AW106" t="s">
        <v>1474</v>
      </c>
      <c r="AX106"/>
      <c r="AY106" t="s">
        <v>1476</v>
      </c>
      <c r="AZ106" s="576">
        <v>48842</v>
      </c>
      <c r="BA106" t="s">
        <v>749</v>
      </c>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t="s">
        <v>1487</v>
      </c>
      <c r="CG106" t="s">
        <v>1480</v>
      </c>
      <c r="CH106" t="s">
        <v>141</v>
      </c>
      <c r="CI106"/>
      <c r="CJ106"/>
      <c r="CK106"/>
      <c r="CL106"/>
      <c r="CM106"/>
      <c r="CN106">
        <v>333</v>
      </c>
      <c r="CO106">
        <v>335</v>
      </c>
      <c r="CP106">
        <v>766</v>
      </c>
      <c r="CQ106"/>
      <c r="CR106"/>
      <c r="CS106" t="s">
        <v>788</v>
      </c>
      <c r="CT106">
        <v>12</v>
      </c>
      <c r="CU106"/>
      <c r="CV106"/>
      <c r="CW106"/>
      <c r="CX106" t="s">
        <v>749</v>
      </c>
      <c r="CY106"/>
      <c r="CZ106" t="s">
        <v>749</v>
      </c>
      <c r="DA106" t="s">
        <v>749</v>
      </c>
      <c r="DB106" t="s">
        <v>749</v>
      </c>
      <c r="DC106" t="s">
        <v>749</v>
      </c>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c r="EP106"/>
      <c r="EQ106"/>
      <c r="ER106">
        <v>224</v>
      </c>
      <c r="ES106"/>
      <c r="ET106"/>
      <c r="EU106"/>
      <c r="EV106" s="439">
        <v>214</v>
      </c>
      <c r="EW106" t="s">
        <v>2822</v>
      </c>
      <c r="EX106" t="s">
        <v>2823</v>
      </c>
      <c r="EY106" t="s">
        <v>2824</v>
      </c>
      <c r="EZ106" t="s">
        <v>54</v>
      </c>
      <c r="FA106">
        <v>56633</v>
      </c>
      <c r="FB106">
        <v>1194754382</v>
      </c>
    </row>
    <row r="107" spans="1:158" x14ac:dyDescent="0.2">
      <c r="A107" s="439">
        <v>1460</v>
      </c>
      <c r="B107" t="s">
        <v>1488</v>
      </c>
      <c r="C107" t="s">
        <v>1474</v>
      </c>
      <c r="D107" t="s">
        <v>1475</v>
      </c>
      <c r="E107" t="s">
        <v>749</v>
      </c>
      <c r="F107"/>
      <c r="G107" t="s">
        <v>1476</v>
      </c>
      <c r="H107" s="576">
        <v>48842</v>
      </c>
      <c r="I107" t="s">
        <v>749</v>
      </c>
      <c r="J107" t="s">
        <v>1475</v>
      </c>
      <c r="K107" t="s">
        <v>749</v>
      </c>
      <c r="L107" t="s">
        <v>1474</v>
      </c>
      <c r="M107"/>
      <c r="N107" t="s">
        <v>1476</v>
      </c>
      <c r="O107" s="576">
        <v>48842</v>
      </c>
      <c r="P107" t="s">
        <v>749</v>
      </c>
      <c r="Q107">
        <v>5176688800</v>
      </c>
      <c r="R107"/>
      <c r="S107" t="s">
        <v>749</v>
      </c>
      <c r="T107" t="s">
        <v>749</v>
      </c>
      <c r="U107" t="s">
        <v>749</v>
      </c>
      <c r="V107"/>
      <c r="W107" t="s">
        <v>749</v>
      </c>
      <c r="X107" t="s">
        <v>1477</v>
      </c>
      <c r="Y107" t="s">
        <v>1478</v>
      </c>
      <c r="Z107" t="s">
        <v>1479</v>
      </c>
      <c r="AA107" t="s">
        <v>1480</v>
      </c>
      <c r="AB107">
        <v>5173253517</v>
      </c>
      <c r="AC107"/>
      <c r="AD107">
        <v>5176688899</v>
      </c>
      <c r="AE107" t="s">
        <v>1481</v>
      </c>
      <c r="AF107" t="s">
        <v>1475</v>
      </c>
      <c r="AG107" t="s">
        <v>749</v>
      </c>
      <c r="AH107" t="s">
        <v>1474</v>
      </c>
      <c r="AI107"/>
      <c r="AJ107" t="s">
        <v>1476</v>
      </c>
      <c r="AK107" s="576">
        <v>48842</v>
      </c>
      <c r="AL107" t="s">
        <v>749</v>
      </c>
      <c r="AM107" t="s">
        <v>1482</v>
      </c>
      <c r="AN107" t="s">
        <v>1483</v>
      </c>
      <c r="AO107" t="s">
        <v>1484</v>
      </c>
      <c r="AP107" t="s">
        <v>1485</v>
      </c>
      <c r="AQ107"/>
      <c r="AR107"/>
      <c r="AS107">
        <v>5176688899</v>
      </c>
      <c r="AT107" t="s">
        <v>1486</v>
      </c>
      <c r="AU107" t="s">
        <v>1475</v>
      </c>
      <c r="AV107" t="s">
        <v>749</v>
      </c>
      <c r="AW107" t="s">
        <v>1474</v>
      </c>
      <c r="AX107"/>
      <c r="AY107" t="s">
        <v>1476</v>
      </c>
      <c r="AZ107" s="576">
        <v>48842</v>
      </c>
      <c r="BA107" t="s">
        <v>749</v>
      </c>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t="s">
        <v>1487</v>
      </c>
      <c r="CG107" t="s">
        <v>1480</v>
      </c>
      <c r="CH107" t="s">
        <v>141</v>
      </c>
      <c r="CI107"/>
      <c r="CJ107"/>
      <c r="CK107"/>
      <c r="CL107"/>
      <c r="CM107"/>
      <c r="CN107">
        <v>333</v>
      </c>
      <c r="CO107">
        <v>335</v>
      </c>
      <c r="CP107">
        <v>766</v>
      </c>
      <c r="CQ107"/>
      <c r="CR107"/>
      <c r="CS107" t="s">
        <v>788</v>
      </c>
      <c r="CT107">
        <v>12</v>
      </c>
      <c r="CU107"/>
      <c r="CV107"/>
      <c r="CW107"/>
      <c r="CX107" t="s">
        <v>749</v>
      </c>
      <c r="CY107"/>
      <c r="CZ107" t="s">
        <v>749</v>
      </c>
      <c r="DA107" t="s">
        <v>749</v>
      </c>
      <c r="DB107" t="s">
        <v>749</v>
      </c>
      <c r="DC107" t="s">
        <v>749</v>
      </c>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c r="EP107"/>
      <c r="EQ107"/>
      <c r="ER107">
        <v>224</v>
      </c>
      <c r="ES107"/>
      <c r="ET107"/>
      <c r="EU107"/>
      <c r="EV107" s="439">
        <v>908</v>
      </c>
      <c r="EW107" t="s">
        <v>2105</v>
      </c>
      <c r="EX107" t="s">
        <v>2106</v>
      </c>
      <c r="EY107" t="s">
        <v>2107</v>
      </c>
      <c r="EZ107" t="s">
        <v>54</v>
      </c>
      <c r="FA107">
        <v>55317</v>
      </c>
      <c r="FB107">
        <v>1316165012</v>
      </c>
    </row>
    <row r="108" spans="1:158" x14ac:dyDescent="0.2">
      <c r="A108" s="439">
        <v>566</v>
      </c>
      <c r="B108" t="s">
        <v>1489</v>
      </c>
      <c r="C108" t="s">
        <v>1490</v>
      </c>
      <c r="D108" t="s">
        <v>1491</v>
      </c>
      <c r="E108" t="s">
        <v>1451</v>
      </c>
      <c r="F108" t="s">
        <v>1453</v>
      </c>
      <c r="G108" t="s">
        <v>992</v>
      </c>
      <c r="H108" s="576">
        <v>58078</v>
      </c>
      <c r="I108"/>
      <c r="J108" t="s">
        <v>1491</v>
      </c>
      <c r="K108" t="s">
        <v>1451</v>
      </c>
      <c r="L108" t="s">
        <v>1452</v>
      </c>
      <c r="M108" t="s">
        <v>1453</v>
      </c>
      <c r="N108" t="s">
        <v>992</v>
      </c>
      <c r="O108" s="576">
        <v>58078</v>
      </c>
      <c r="P108"/>
      <c r="Q108">
        <v>7012379073</v>
      </c>
      <c r="R108">
        <v>7012351582</v>
      </c>
      <c r="S108" t="s">
        <v>749</v>
      </c>
      <c r="T108" t="s">
        <v>749</v>
      </c>
      <c r="U108" t="s">
        <v>749</v>
      </c>
      <c r="V108" t="s">
        <v>1492</v>
      </c>
      <c r="W108" t="s">
        <v>1493</v>
      </c>
      <c r="X108" t="s">
        <v>1494</v>
      </c>
      <c r="Y108" t="s">
        <v>1495</v>
      </c>
      <c r="Z108" t="s">
        <v>1456</v>
      </c>
      <c r="AA108" t="s">
        <v>1496</v>
      </c>
      <c r="AB108">
        <v>7012973028</v>
      </c>
      <c r="AC108">
        <v>7012379073</v>
      </c>
      <c r="AD108">
        <v>7012351582</v>
      </c>
      <c r="AE108" t="s">
        <v>1492</v>
      </c>
      <c r="AF108" t="s">
        <v>1491</v>
      </c>
      <c r="AG108" t="s">
        <v>1451</v>
      </c>
      <c r="AH108" t="s">
        <v>1452</v>
      </c>
      <c r="AI108" t="s">
        <v>1453</v>
      </c>
      <c r="AJ108" t="s">
        <v>992</v>
      </c>
      <c r="AK108" s="576">
        <v>58078</v>
      </c>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t="s">
        <v>1497</v>
      </c>
      <c r="CG108" t="s">
        <v>1496</v>
      </c>
      <c r="CH108" t="s">
        <v>141</v>
      </c>
      <c r="CI108"/>
      <c r="CJ108"/>
      <c r="CK108"/>
      <c r="CL108"/>
      <c r="CM108">
        <v>1972553758</v>
      </c>
      <c r="CN108">
        <v>244</v>
      </c>
      <c r="CO108">
        <v>143</v>
      </c>
      <c r="CP108"/>
      <c r="CQ108"/>
      <c r="CR108"/>
      <c r="CS108" t="s">
        <v>788</v>
      </c>
      <c r="CT108">
        <v>12</v>
      </c>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c r="EO108"/>
      <c r="EP108"/>
      <c r="EQ108"/>
      <c r="ER108">
        <v>63</v>
      </c>
      <c r="ES108"/>
      <c r="ET108"/>
      <c r="EU108"/>
      <c r="EV108" s="439">
        <v>415</v>
      </c>
      <c r="EW108" t="s">
        <v>2825</v>
      </c>
      <c r="EX108" t="s">
        <v>2826</v>
      </c>
      <c r="EY108" t="s">
        <v>2827</v>
      </c>
      <c r="EZ108" t="s">
        <v>54</v>
      </c>
      <c r="FA108">
        <v>55318</v>
      </c>
      <c r="FB108">
        <v>1275142804</v>
      </c>
    </row>
    <row r="109" spans="1:158" x14ac:dyDescent="0.2">
      <c r="A109" s="439">
        <v>690</v>
      </c>
      <c r="B109" t="s">
        <v>1498</v>
      </c>
      <c r="C109" t="s">
        <v>1490</v>
      </c>
      <c r="D109" t="s">
        <v>1491</v>
      </c>
      <c r="E109" t="s">
        <v>1451</v>
      </c>
      <c r="F109" t="s">
        <v>1453</v>
      </c>
      <c r="G109" t="s">
        <v>992</v>
      </c>
      <c r="H109" s="576">
        <v>58078</v>
      </c>
      <c r="I109"/>
      <c r="J109" t="s">
        <v>1491</v>
      </c>
      <c r="K109" t="s">
        <v>1451</v>
      </c>
      <c r="L109" t="s">
        <v>1452</v>
      </c>
      <c r="M109" t="s">
        <v>1453</v>
      </c>
      <c r="N109" t="s">
        <v>992</v>
      </c>
      <c r="O109" s="576">
        <v>58078</v>
      </c>
      <c r="P109"/>
      <c r="Q109">
        <v>7012379073</v>
      </c>
      <c r="R109">
        <v>7012973077</v>
      </c>
      <c r="S109" t="s">
        <v>749</v>
      </c>
      <c r="T109" t="s">
        <v>749</v>
      </c>
      <c r="U109" t="s">
        <v>749</v>
      </c>
      <c r="V109" t="s">
        <v>1492</v>
      </c>
      <c r="W109" t="s">
        <v>1493</v>
      </c>
      <c r="X109" t="s">
        <v>1494</v>
      </c>
      <c r="Y109" t="s">
        <v>1495</v>
      </c>
      <c r="Z109" t="s">
        <v>1456</v>
      </c>
      <c r="AA109" t="s">
        <v>1496</v>
      </c>
      <c r="AB109">
        <v>7012973028</v>
      </c>
      <c r="AC109">
        <v>7012379073</v>
      </c>
      <c r="AD109">
        <v>7012351582</v>
      </c>
      <c r="AE109" t="s">
        <v>1492</v>
      </c>
      <c r="AF109" t="s">
        <v>1491</v>
      </c>
      <c r="AG109" t="s">
        <v>1451</v>
      </c>
      <c r="AH109" t="s">
        <v>1452</v>
      </c>
      <c r="AI109" t="s">
        <v>1453</v>
      </c>
      <c r="AJ109" t="s">
        <v>992</v>
      </c>
      <c r="AK109" s="576">
        <v>58078</v>
      </c>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t="s">
        <v>1494</v>
      </c>
      <c r="BR109" t="s">
        <v>1495</v>
      </c>
      <c r="BS109" t="s">
        <v>1456</v>
      </c>
      <c r="BT109" t="s">
        <v>1496</v>
      </c>
      <c r="BU109">
        <v>7012973028</v>
      </c>
      <c r="BV109">
        <v>7012379073</v>
      </c>
      <c r="BW109">
        <v>7012351582</v>
      </c>
      <c r="BX109" t="s">
        <v>1492</v>
      </c>
      <c r="BY109" t="s">
        <v>1491</v>
      </c>
      <c r="BZ109" t="s">
        <v>1451</v>
      </c>
      <c r="CA109" t="s">
        <v>1452</v>
      </c>
      <c r="CB109" t="s">
        <v>1453</v>
      </c>
      <c r="CC109" t="s">
        <v>992</v>
      </c>
      <c r="CD109" s="576">
        <v>58078</v>
      </c>
      <c r="CE109"/>
      <c r="CF109" t="s">
        <v>1497</v>
      </c>
      <c r="CG109" t="s">
        <v>1496</v>
      </c>
      <c r="CH109" t="s">
        <v>141</v>
      </c>
      <c r="CI109"/>
      <c r="CJ109"/>
      <c r="CK109"/>
      <c r="CL109"/>
      <c r="CM109">
        <v>1972553758</v>
      </c>
      <c r="CN109">
        <v>244</v>
      </c>
      <c r="CO109">
        <v>143</v>
      </c>
      <c r="CP109"/>
      <c r="CQ109"/>
      <c r="CR109">
        <v>143</v>
      </c>
      <c r="CS109" t="s">
        <v>788</v>
      </c>
      <c r="CT109">
        <v>12</v>
      </c>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v>63</v>
      </c>
      <c r="ES109"/>
      <c r="ET109"/>
      <c r="EU109"/>
      <c r="EV109" s="439">
        <v>400</v>
      </c>
      <c r="EW109" t="s">
        <v>2828</v>
      </c>
      <c r="EX109" t="s">
        <v>2826</v>
      </c>
      <c r="EY109" t="s">
        <v>2829</v>
      </c>
      <c r="EZ109" t="s">
        <v>54</v>
      </c>
      <c r="FA109">
        <v>55318</v>
      </c>
      <c r="FB109">
        <v>1265959795</v>
      </c>
    </row>
    <row r="110" spans="1:158" x14ac:dyDescent="0.2">
      <c r="A110" s="439">
        <v>1268</v>
      </c>
      <c r="B110" t="s">
        <v>1499</v>
      </c>
      <c r="C110" t="s">
        <v>1490</v>
      </c>
      <c r="D110" t="s">
        <v>1491</v>
      </c>
      <c r="E110" t="s">
        <v>1451</v>
      </c>
      <c r="F110" t="s">
        <v>1453</v>
      </c>
      <c r="G110" t="s">
        <v>992</v>
      </c>
      <c r="H110" s="576">
        <v>58078</v>
      </c>
      <c r="I110"/>
      <c r="J110" t="s">
        <v>1491</v>
      </c>
      <c r="K110" t="s">
        <v>1451</v>
      </c>
      <c r="L110" t="s">
        <v>1452</v>
      </c>
      <c r="M110" t="s">
        <v>1453</v>
      </c>
      <c r="N110" t="s">
        <v>992</v>
      </c>
      <c r="O110" s="576">
        <v>58078</v>
      </c>
      <c r="P110"/>
      <c r="Q110">
        <v>7012379073</v>
      </c>
      <c r="R110">
        <v>7012351582</v>
      </c>
      <c r="S110" t="s">
        <v>749</v>
      </c>
      <c r="T110" t="s">
        <v>749</v>
      </c>
      <c r="U110" t="s">
        <v>749</v>
      </c>
      <c r="V110" t="s">
        <v>1492</v>
      </c>
      <c r="W110" t="s">
        <v>1493</v>
      </c>
      <c r="X110" t="s">
        <v>1494</v>
      </c>
      <c r="Y110" t="s">
        <v>1495</v>
      </c>
      <c r="Z110" t="s">
        <v>1456</v>
      </c>
      <c r="AA110" t="s">
        <v>1496</v>
      </c>
      <c r="AB110">
        <v>7012973028</v>
      </c>
      <c r="AC110">
        <v>7012379073</v>
      </c>
      <c r="AD110">
        <v>7012351582</v>
      </c>
      <c r="AE110" t="s">
        <v>1492</v>
      </c>
      <c r="AF110" t="s">
        <v>1491</v>
      </c>
      <c r="AG110" t="s">
        <v>1451</v>
      </c>
      <c r="AH110" t="s">
        <v>1452</v>
      </c>
      <c r="AI110" t="s">
        <v>1453</v>
      </c>
      <c r="AJ110" t="s">
        <v>992</v>
      </c>
      <c r="AK110" s="576">
        <v>58078</v>
      </c>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t="s">
        <v>1494</v>
      </c>
      <c r="BR110" t="s">
        <v>1495</v>
      </c>
      <c r="BS110" t="s">
        <v>1456</v>
      </c>
      <c r="BT110" t="s">
        <v>1496</v>
      </c>
      <c r="BU110">
        <v>7012973028</v>
      </c>
      <c r="BV110">
        <v>7012379073</v>
      </c>
      <c r="BW110">
        <v>7012351582</v>
      </c>
      <c r="BX110" t="s">
        <v>1492</v>
      </c>
      <c r="BY110" t="s">
        <v>1491</v>
      </c>
      <c r="BZ110" t="s">
        <v>1451</v>
      </c>
      <c r="CA110" t="s">
        <v>1452</v>
      </c>
      <c r="CB110" t="s">
        <v>1453</v>
      </c>
      <c r="CC110" t="s">
        <v>992</v>
      </c>
      <c r="CD110" s="576">
        <v>58078</v>
      </c>
      <c r="CE110"/>
      <c r="CF110" t="s">
        <v>1497</v>
      </c>
      <c r="CG110" t="s">
        <v>1496</v>
      </c>
      <c r="CH110" t="s">
        <v>141</v>
      </c>
      <c r="CI110"/>
      <c r="CJ110"/>
      <c r="CK110"/>
      <c r="CL110"/>
      <c r="CM110">
        <v>1972553758</v>
      </c>
      <c r="CN110">
        <v>244</v>
      </c>
      <c r="CO110">
        <v>143</v>
      </c>
      <c r="CP110"/>
      <c r="CQ110"/>
      <c r="CR110">
        <v>143</v>
      </c>
      <c r="CS110" t="s">
        <v>788</v>
      </c>
      <c r="CT110">
        <v>12</v>
      </c>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v>63</v>
      </c>
      <c r="ES110"/>
      <c r="ET110"/>
      <c r="EU110"/>
      <c r="EV110" s="439">
        <v>376</v>
      </c>
      <c r="EW110" t="s">
        <v>2830</v>
      </c>
      <c r="EX110" t="s">
        <v>2826</v>
      </c>
      <c r="EY110" t="s">
        <v>2831</v>
      </c>
      <c r="EZ110" t="s">
        <v>54</v>
      </c>
      <c r="FA110">
        <v>55318</v>
      </c>
      <c r="FB110">
        <v>1083902423</v>
      </c>
    </row>
    <row r="111" spans="1:158" x14ac:dyDescent="0.2">
      <c r="A111" s="439">
        <v>1778</v>
      </c>
      <c r="B111" t="s">
        <v>1500</v>
      </c>
      <c r="C111" t="s">
        <v>1490</v>
      </c>
      <c r="D111" t="s">
        <v>1491</v>
      </c>
      <c r="E111" t="s">
        <v>1451</v>
      </c>
      <c r="F111" t="s">
        <v>1453</v>
      </c>
      <c r="G111" t="s">
        <v>992</v>
      </c>
      <c r="H111" s="576">
        <v>58078</v>
      </c>
      <c r="I111"/>
      <c r="J111" t="s">
        <v>1491</v>
      </c>
      <c r="K111" t="s">
        <v>1451</v>
      </c>
      <c r="L111" t="s">
        <v>1452</v>
      </c>
      <c r="M111" t="s">
        <v>1453</v>
      </c>
      <c r="N111" t="s">
        <v>992</v>
      </c>
      <c r="O111" s="576">
        <v>58078</v>
      </c>
      <c r="P111"/>
      <c r="Q111">
        <v>7012379073</v>
      </c>
      <c r="R111">
        <v>7012351582</v>
      </c>
      <c r="S111" t="s">
        <v>749</v>
      </c>
      <c r="T111" t="s">
        <v>749</v>
      </c>
      <c r="U111" t="s">
        <v>749</v>
      </c>
      <c r="V111" t="s">
        <v>1492</v>
      </c>
      <c r="W111" t="s">
        <v>1493</v>
      </c>
      <c r="X111" t="s">
        <v>1494</v>
      </c>
      <c r="Y111" t="s">
        <v>1495</v>
      </c>
      <c r="Z111" t="s">
        <v>1456</v>
      </c>
      <c r="AA111" t="s">
        <v>1496</v>
      </c>
      <c r="AB111">
        <v>7012973028</v>
      </c>
      <c r="AC111">
        <v>7012379073</v>
      </c>
      <c r="AD111">
        <v>7012351582</v>
      </c>
      <c r="AE111" t="s">
        <v>1492</v>
      </c>
      <c r="AF111" t="s">
        <v>1491</v>
      </c>
      <c r="AG111" t="s">
        <v>1451</v>
      </c>
      <c r="AH111" t="s">
        <v>1452</v>
      </c>
      <c r="AI111" t="s">
        <v>1453</v>
      </c>
      <c r="AJ111" t="s">
        <v>992</v>
      </c>
      <c r="AK111" s="576">
        <v>58078</v>
      </c>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t="s">
        <v>1494</v>
      </c>
      <c r="BR111" t="s">
        <v>1495</v>
      </c>
      <c r="BS111" t="s">
        <v>1456</v>
      </c>
      <c r="BT111" t="s">
        <v>1496</v>
      </c>
      <c r="BU111">
        <v>7012973028</v>
      </c>
      <c r="BV111">
        <v>7012379073</v>
      </c>
      <c r="BW111">
        <v>7012351582</v>
      </c>
      <c r="BX111" t="s">
        <v>1492</v>
      </c>
      <c r="BY111" t="s">
        <v>1491</v>
      </c>
      <c r="BZ111" t="s">
        <v>1451</v>
      </c>
      <c r="CA111" t="s">
        <v>1452</v>
      </c>
      <c r="CB111" t="s">
        <v>1453</v>
      </c>
      <c r="CC111" t="s">
        <v>992</v>
      </c>
      <c r="CD111" s="576">
        <v>58078</v>
      </c>
      <c r="CE111"/>
      <c r="CF111" t="s">
        <v>1497</v>
      </c>
      <c r="CG111" t="s">
        <v>1496</v>
      </c>
      <c r="CH111" t="s">
        <v>141</v>
      </c>
      <c r="CI111"/>
      <c r="CJ111"/>
      <c r="CK111"/>
      <c r="CL111"/>
      <c r="CM111">
        <v>1972553758</v>
      </c>
      <c r="CN111">
        <v>244</v>
      </c>
      <c r="CO111">
        <v>143</v>
      </c>
      <c r="CP111"/>
      <c r="CQ111"/>
      <c r="CR111">
        <v>143</v>
      </c>
      <c r="CS111" t="s">
        <v>788</v>
      </c>
      <c r="CT111">
        <v>12</v>
      </c>
      <c r="CU111"/>
      <c r="CV111"/>
      <c r="CW111"/>
      <c r="CX111"/>
      <c r="CY111"/>
      <c r="CZ111"/>
      <c r="DA111"/>
      <c r="DB111"/>
      <c r="DC111"/>
      <c r="DD111"/>
      <c r="DE111"/>
      <c r="DF111"/>
      <c r="DG111"/>
      <c r="DH111"/>
      <c r="DI111"/>
      <c r="DJ111"/>
      <c r="DK111"/>
      <c r="DL111"/>
      <c r="DM111"/>
      <c r="DN111"/>
      <c r="DO111"/>
      <c r="DP111"/>
      <c r="DQ111"/>
      <c r="DR111"/>
      <c r="DS111"/>
      <c r="DT111"/>
      <c r="DU111"/>
      <c r="DV111"/>
      <c r="DW111"/>
      <c r="DX111">
        <v>135</v>
      </c>
      <c r="DY111" t="s">
        <v>1501</v>
      </c>
      <c r="DZ111"/>
      <c r="EA111"/>
      <c r="EB111"/>
      <c r="EC111"/>
      <c r="ED111"/>
      <c r="EE111"/>
      <c r="EF111"/>
      <c r="EG111"/>
      <c r="EH111"/>
      <c r="EI111"/>
      <c r="EJ111"/>
      <c r="EK111"/>
      <c r="EL111"/>
      <c r="EM111"/>
      <c r="EN111"/>
      <c r="EO111"/>
      <c r="EP111"/>
      <c r="EQ111"/>
      <c r="ER111">
        <v>63</v>
      </c>
      <c r="ES111"/>
      <c r="ET111"/>
      <c r="EU111"/>
      <c r="EV111" s="439">
        <v>395</v>
      </c>
      <c r="EW111" t="s">
        <v>2832</v>
      </c>
      <c r="EX111" t="s">
        <v>2826</v>
      </c>
      <c r="EY111" t="s">
        <v>2827</v>
      </c>
      <c r="EZ111" t="s">
        <v>54</v>
      </c>
      <c r="FA111">
        <v>55318</v>
      </c>
      <c r="FB111">
        <v>1003272980</v>
      </c>
    </row>
    <row r="112" spans="1:158" x14ac:dyDescent="0.2">
      <c r="A112" s="439">
        <v>1691</v>
      </c>
      <c r="B112" t="s">
        <v>1502</v>
      </c>
      <c r="C112" t="s">
        <v>1490</v>
      </c>
      <c r="D112" t="s">
        <v>1491</v>
      </c>
      <c r="E112" t="s">
        <v>1451</v>
      </c>
      <c r="F112" t="s">
        <v>1453</v>
      </c>
      <c r="G112" t="s">
        <v>992</v>
      </c>
      <c r="H112" s="576">
        <v>58078</v>
      </c>
      <c r="I112"/>
      <c r="J112" t="s">
        <v>1491</v>
      </c>
      <c r="K112" t="s">
        <v>1451</v>
      </c>
      <c r="L112" t="s">
        <v>1452</v>
      </c>
      <c r="M112" t="s">
        <v>1453</v>
      </c>
      <c r="N112" t="s">
        <v>992</v>
      </c>
      <c r="O112" s="576">
        <v>58078</v>
      </c>
      <c r="P112"/>
      <c r="Q112">
        <v>7012379073</v>
      </c>
      <c r="R112">
        <v>7012351582</v>
      </c>
      <c r="S112" t="s">
        <v>749</v>
      </c>
      <c r="T112" t="s">
        <v>749</v>
      </c>
      <c r="U112" t="s">
        <v>749</v>
      </c>
      <c r="V112" t="s">
        <v>1492</v>
      </c>
      <c r="W112" t="s">
        <v>1493</v>
      </c>
      <c r="X112" t="s">
        <v>1494</v>
      </c>
      <c r="Y112" t="s">
        <v>1495</v>
      </c>
      <c r="Z112" t="s">
        <v>1456</v>
      </c>
      <c r="AA112" t="s">
        <v>1496</v>
      </c>
      <c r="AB112">
        <v>7012973028</v>
      </c>
      <c r="AC112">
        <v>7012379073</v>
      </c>
      <c r="AD112">
        <v>7012351582</v>
      </c>
      <c r="AE112" t="s">
        <v>1492</v>
      </c>
      <c r="AF112" t="s">
        <v>1491</v>
      </c>
      <c r="AG112" t="s">
        <v>1451</v>
      </c>
      <c r="AH112" t="s">
        <v>1452</v>
      </c>
      <c r="AI112" t="s">
        <v>1453</v>
      </c>
      <c r="AJ112" t="s">
        <v>992</v>
      </c>
      <c r="AK112" s="576">
        <v>58078</v>
      </c>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t="s">
        <v>1494</v>
      </c>
      <c r="BR112" t="s">
        <v>1495</v>
      </c>
      <c r="BS112" t="s">
        <v>1456</v>
      </c>
      <c r="BT112" t="s">
        <v>1496</v>
      </c>
      <c r="BU112">
        <v>7012973028</v>
      </c>
      <c r="BV112">
        <v>7012379073</v>
      </c>
      <c r="BW112">
        <v>7012351582</v>
      </c>
      <c r="BX112" t="s">
        <v>1492</v>
      </c>
      <c r="BY112" t="s">
        <v>1491</v>
      </c>
      <c r="BZ112" t="s">
        <v>1451</v>
      </c>
      <c r="CA112" t="s">
        <v>1452</v>
      </c>
      <c r="CB112" t="s">
        <v>1453</v>
      </c>
      <c r="CC112" t="s">
        <v>992</v>
      </c>
      <c r="CD112" s="576">
        <v>58078</v>
      </c>
      <c r="CE112"/>
      <c r="CF112" t="s">
        <v>1497</v>
      </c>
      <c r="CG112" t="s">
        <v>1496</v>
      </c>
      <c r="CH112" t="s">
        <v>141</v>
      </c>
      <c r="CI112"/>
      <c r="CJ112"/>
      <c r="CK112"/>
      <c r="CL112"/>
      <c r="CM112">
        <v>1972553758</v>
      </c>
      <c r="CN112">
        <v>244</v>
      </c>
      <c r="CO112">
        <v>143</v>
      </c>
      <c r="CP112"/>
      <c r="CQ112"/>
      <c r="CR112">
        <v>143</v>
      </c>
      <c r="CS112" t="s">
        <v>788</v>
      </c>
      <c r="CT112">
        <v>12</v>
      </c>
      <c r="CU112"/>
      <c r="CV112"/>
      <c r="CW112"/>
      <c r="CX112"/>
      <c r="CY112"/>
      <c r="CZ112"/>
      <c r="DA112"/>
      <c r="DB112"/>
      <c r="DC112"/>
      <c r="DD112"/>
      <c r="DE112"/>
      <c r="DF112"/>
      <c r="DG112"/>
      <c r="DH112"/>
      <c r="DI112"/>
      <c r="DJ112"/>
      <c r="DK112"/>
      <c r="DL112"/>
      <c r="DM112"/>
      <c r="DN112"/>
      <c r="DO112"/>
      <c r="DP112"/>
      <c r="DQ112"/>
      <c r="DR112"/>
      <c r="DS112"/>
      <c r="DT112"/>
      <c r="DU112"/>
      <c r="DV112"/>
      <c r="DW112"/>
      <c r="DX112"/>
      <c r="DY112"/>
      <c r="DZ112"/>
      <c r="EA112"/>
      <c r="EB112"/>
      <c r="EC112"/>
      <c r="ED112"/>
      <c r="EE112"/>
      <c r="EF112"/>
      <c r="EG112"/>
      <c r="EH112"/>
      <c r="EI112"/>
      <c r="EJ112"/>
      <c r="EK112"/>
      <c r="EL112"/>
      <c r="EM112"/>
      <c r="EN112"/>
      <c r="EO112"/>
      <c r="EP112"/>
      <c r="EQ112"/>
      <c r="ER112">
        <v>63</v>
      </c>
      <c r="ES112"/>
      <c r="ET112"/>
      <c r="EU112"/>
      <c r="EV112" s="439">
        <v>834</v>
      </c>
      <c r="EW112" t="s">
        <v>1258</v>
      </c>
      <c r="EX112" t="s">
        <v>1259</v>
      </c>
      <c r="EY112" t="s">
        <v>1260</v>
      </c>
      <c r="EZ112" t="s">
        <v>54</v>
      </c>
      <c r="FA112">
        <v>55720</v>
      </c>
      <c r="FB112"/>
    </row>
    <row r="113" spans="1:158" x14ac:dyDescent="0.2">
      <c r="A113" s="439">
        <v>611</v>
      </c>
      <c r="B113" t="s">
        <v>1503</v>
      </c>
      <c r="C113" t="s">
        <v>1490</v>
      </c>
      <c r="D113" t="s">
        <v>1491</v>
      </c>
      <c r="E113" t="s">
        <v>1451</v>
      </c>
      <c r="F113" t="s">
        <v>1453</v>
      </c>
      <c r="G113" t="s">
        <v>992</v>
      </c>
      <c r="H113" s="576">
        <v>58078</v>
      </c>
      <c r="I113"/>
      <c r="J113" t="s">
        <v>1491</v>
      </c>
      <c r="K113" t="s">
        <v>1451</v>
      </c>
      <c r="L113" t="s">
        <v>1452</v>
      </c>
      <c r="M113" t="s">
        <v>1453</v>
      </c>
      <c r="N113" t="s">
        <v>992</v>
      </c>
      <c r="O113" s="576">
        <v>58078</v>
      </c>
      <c r="P113"/>
      <c r="Q113">
        <v>7012379073</v>
      </c>
      <c r="R113">
        <v>7012351582</v>
      </c>
      <c r="S113" t="s">
        <v>749</v>
      </c>
      <c r="T113" t="s">
        <v>749</v>
      </c>
      <c r="U113" t="s">
        <v>749</v>
      </c>
      <c r="V113" t="s">
        <v>1492</v>
      </c>
      <c r="W113" t="s">
        <v>1493</v>
      </c>
      <c r="X113" t="s">
        <v>1494</v>
      </c>
      <c r="Y113" t="s">
        <v>1495</v>
      </c>
      <c r="Z113" t="s">
        <v>1456</v>
      </c>
      <c r="AA113" t="s">
        <v>1496</v>
      </c>
      <c r="AB113">
        <v>7012973028</v>
      </c>
      <c r="AC113">
        <v>7012379073</v>
      </c>
      <c r="AD113">
        <v>7012351582</v>
      </c>
      <c r="AE113" t="s">
        <v>1492</v>
      </c>
      <c r="AF113" t="s">
        <v>1491</v>
      </c>
      <c r="AG113" t="s">
        <v>1451</v>
      </c>
      <c r="AH113" t="s">
        <v>1452</v>
      </c>
      <c r="AI113" t="s">
        <v>1453</v>
      </c>
      <c r="AJ113" t="s">
        <v>992</v>
      </c>
      <c r="AK113" s="576">
        <v>58078</v>
      </c>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t="s">
        <v>1494</v>
      </c>
      <c r="BR113" t="s">
        <v>1495</v>
      </c>
      <c r="BS113" t="s">
        <v>1456</v>
      </c>
      <c r="BT113" t="s">
        <v>1496</v>
      </c>
      <c r="BU113">
        <v>7012973028</v>
      </c>
      <c r="BV113">
        <v>7012379073</v>
      </c>
      <c r="BW113">
        <v>7012351582</v>
      </c>
      <c r="BX113" t="s">
        <v>1492</v>
      </c>
      <c r="BY113" t="s">
        <v>1491</v>
      </c>
      <c r="BZ113" t="s">
        <v>1451</v>
      </c>
      <c r="CA113" t="s">
        <v>1452</v>
      </c>
      <c r="CB113" t="s">
        <v>1453</v>
      </c>
      <c r="CC113" t="s">
        <v>992</v>
      </c>
      <c r="CD113" s="576">
        <v>58078</v>
      </c>
      <c r="CE113"/>
      <c r="CF113" t="s">
        <v>1497</v>
      </c>
      <c r="CG113" t="s">
        <v>1496</v>
      </c>
      <c r="CH113" t="s">
        <v>141</v>
      </c>
      <c r="CI113"/>
      <c r="CJ113"/>
      <c r="CK113"/>
      <c r="CL113"/>
      <c r="CM113">
        <v>1972553758</v>
      </c>
      <c r="CN113">
        <v>244</v>
      </c>
      <c r="CO113">
        <v>143</v>
      </c>
      <c r="CP113"/>
      <c r="CQ113"/>
      <c r="CR113">
        <v>143</v>
      </c>
      <c r="CS113" t="s">
        <v>788</v>
      </c>
      <c r="CT113">
        <v>12</v>
      </c>
      <c r="CU113"/>
      <c r="CV113"/>
      <c r="CW113"/>
      <c r="CX113"/>
      <c r="CY113"/>
      <c r="CZ113"/>
      <c r="DA113"/>
      <c r="DB113"/>
      <c r="DC113"/>
      <c r="DD113"/>
      <c r="DE113"/>
      <c r="DF113"/>
      <c r="DG113"/>
      <c r="DH113"/>
      <c r="DI113"/>
      <c r="DJ113"/>
      <c r="DK113"/>
      <c r="DL113"/>
      <c r="DM113"/>
      <c r="DN113"/>
      <c r="DO113"/>
      <c r="DP113"/>
      <c r="DQ113"/>
      <c r="DR113"/>
      <c r="DS113"/>
      <c r="DT113"/>
      <c r="DU113"/>
      <c r="DV113"/>
      <c r="DW113"/>
      <c r="DX113"/>
      <c r="DY113"/>
      <c r="DZ113"/>
      <c r="EA113"/>
      <c r="EB113"/>
      <c r="EC113"/>
      <c r="ED113"/>
      <c r="EE113"/>
      <c r="EF113"/>
      <c r="EG113"/>
      <c r="EH113"/>
      <c r="EI113"/>
      <c r="EJ113"/>
      <c r="EK113"/>
      <c r="EL113"/>
      <c r="EM113"/>
      <c r="EN113"/>
      <c r="EO113"/>
      <c r="EP113"/>
      <c r="EQ113"/>
      <c r="ER113">
        <v>63</v>
      </c>
      <c r="ES113"/>
      <c r="ET113"/>
      <c r="EU113"/>
      <c r="EV113" s="439">
        <v>24</v>
      </c>
      <c r="EW113" t="s">
        <v>2833</v>
      </c>
      <c r="EX113" t="s">
        <v>1259</v>
      </c>
      <c r="EY113" t="s">
        <v>1260</v>
      </c>
      <c r="EZ113" t="s">
        <v>54</v>
      </c>
      <c r="FA113">
        <v>55720</v>
      </c>
      <c r="FB113">
        <v>1003869082</v>
      </c>
    </row>
    <row r="114" spans="1:158" x14ac:dyDescent="0.2">
      <c r="A114" s="439">
        <v>644</v>
      </c>
      <c r="B114" t="s">
        <v>1504</v>
      </c>
      <c r="C114" t="s">
        <v>1490</v>
      </c>
      <c r="D114" t="s">
        <v>1491</v>
      </c>
      <c r="E114" t="s">
        <v>1451</v>
      </c>
      <c r="F114" t="s">
        <v>1453</v>
      </c>
      <c r="G114" t="s">
        <v>992</v>
      </c>
      <c r="H114" s="576">
        <v>58078</v>
      </c>
      <c r="I114"/>
      <c r="J114" t="s">
        <v>1491</v>
      </c>
      <c r="K114" t="s">
        <v>1451</v>
      </c>
      <c r="L114" t="s">
        <v>1452</v>
      </c>
      <c r="M114" t="s">
        <v>1453</v>
      </c>
      <c r="N114" t="s">
        <v>992</v>
      </c>
      <c r="O114" s="576">
        <v>58078</v>
      </c>
      <c r="P114"/>
      <c r="Q114">
        <v>7012379073</v>
      </c>
      <c r="R114">
        <v>7012973077</v>
      </c>
      <c r="S114" t="s">
        <v>749</v>
      </c>
      <c r="T114" t="s">
        <v>749</v>
      </c>
      <c r="U114" t="s">
        <v>749</v>
      </c>
      <c r="V114" t="s">
        <v>1492</v>
      </c>
      <c r="W114" t="s">
        <v>1493</v>
      </c>
      <c r="X114" t="s">
        <v>1494</v>
      </c>
      <c r="Y114" t="s">
        <v>1495</v>
      </c>
      <c r="Z114" t="s">
        <v>1456</v>
      </c>
      <c r="AA114" t="s">
        <v>1496</v>
      </c>
      <c r="AB114">
        <v>7012973028</v>
      </c>
      <c r="AC114">
        <v>7012379073</v>
      </c>
      <c r="AD114">
        <v>7012351582</v>
      </c>
      <c r="AE114" t="s">
        <v>1492</v>
      </c>
      <c r="AF114" t="s">
        <v>1491</v>
      </c>
      <c r="AG114" t="s">
        <v>1451</v>
      </c>
      <c r="AH114" t="s">
        <v>1452</v>
      </c>
      <c r="AI114" t="s">
        <v>1453</v>
      </c>
      <c r="AJ114" t="s">
        <v>992</v>
      </c>
      <c r="AK114" s="576">
        <v>58078</v>
      </c>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t="s">
        <v>1494</v>
      </c>
      <c r="BR114" t="s">
        <v>1495</v>
      </c>
      <c r="BS114" t="s">
        <v>1456</v>
      </c>
      <c r="BT114" t="s">
        <v>1496</v>
      </c>
      <c r="BU114">
        <v>7012973028</v>
      </c>
      <c r="BV114">
        <v>7012379073</v>
      </c>
      <c r="BW114">
        <v>7012351582</v>
      </c>
      <c r="BX114" t="s">
        <v>1492</v>
      </c>
      <c r="BY114" t="s">
        <v>1491</v>
      </c>
      <c r="BZ114" t="s">
        <v>1451</v>
      </c>
      <c r="CA114" t="s">
        <v>1452</v>
      </c>
      <c r="CB114" t="s">
        <v>1453</v>
      </c>
      <c r="CC114" t="s">
        <v>992</v>
      </c>
      <c r="CD114" s="576">
        <v>58078</v>
      </c>
      <c r="CE114"/>
      <c r="CF114" t="s">
        <v>1497</v>
      </c>
      <c r="CG114" t="s">
        <v>1496</v>
      </c>
      <c r="CH114" t="s">
        <v>141</v>
      </c>
      <c r="CI114"/>
      <c r="CJ114"/>
      <c r="CK114"/>
      <c r="CL114"/>
      <c r="CM114">
        <v>1972553758</v>
      </c>
      <c r="CN114">
        <v>244</v>
      </c>
      <c r="CO114">
        <v>143</v>
      </c>
      <c r="CP114"/>
      <c r="CQ114"/>
      <c r="CR114">
        <v>143</v>
      </c>
      <c r="CS114" t="s">
        <v>788</v>
      </c>
      <c r="CT114">
        <v>12</v>
      </c>
      <c r="CU114"/>
      <c r="CV114"/>
      <c r="CW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c r="EE114"/>
      <c r="EF114"/>
      <c r="EG114"/>
      <c r="EH114"/>
      <c r="EI114"/>
      <c r="EJ114"/>
      <c r="EK114"/>
      <c r="EL114"/>
      <c r="EM114"/>
      <c r="EN114"/>
      <c r="EO114"/>
      <c r="EP114"/>
      <c r="EQ114"/>
      <c r="ER114">
        <v>63</v>
      </c>
      <c r="ES114"/>
      <c r="ET114"/>
      <c r="EU114"/>
      <c r="EV114" s="439">
        <v>820</v>
      </c>
      <c r="EW114" t="s">
        <v>2212</v>
      </c>
      <c r="EX114" t="s">
        <v>2834</v>
      </c>
      <c r="EY114" t="s">
        <v>2835</v>
      </c>
      <c r="EZ114" t="s">
        <v>54</v>
      </c>
      <c r="FA114">
        <v>55421</v>
      </c>
      <c r="FB114"/>
    </row>
    <row r="115" spans="1:158" x14ac:dyDescent="0.2">
      <c r="A115" s="439">
        <v>806</v>
      </c>
      <c r="B115" t="s">
        <v>1505</v>
      </c>
      <c r="C115" t="s">
        <v>1490</v>
      </c>
      <c r="D115" t="s">
        <v>1491</v>
      </c>
      <c r="E115" t="s">
        <v>1451</v>
      </c>
      <c r="F115" t="s">
        <v>1453</v>
      </c>
      <c r="G115" t="s">
        <v>992</v>
      </c>
      <c r="H115" s="576">
        <v>58078</v>
      </c>
      <c r="I115"/>
      <c r="J115" t="s">
        <v>1491</v>
      </c>
      <c r="K115" t="s">
        <v>1451</v>
      </c>
      <c r="L115" t="s">
        <v>1452</v>
      </c>
      <c r="M115" t="s">
        <v>1453</v>
      </c>
      <c r="N115" t="s">
        <v>992</v>
      </c>
      <c r="O115" s="576">
        <v>58078</v>
      </c>
      <c r="P115"/>
      <c r="Q115">
        <v>7012379073</v>
      </c>
      <c r="R115">
        <v>7012351582</v>
      </c>
      <c r="S115" t="s">
        <v>749</v>
      </c>
      <c r="T115" t="s">
        <v>749</v>
      </c>
      <c r="U115" t="s">
        <v>749</v>
      </c>
      <c r="V115" t="s">
        <v>1492</v>
      </c>
      <c r="W115" t="s">
        <v>1493</v>
      </c>
      <c r="X115" t="s">
        <v>1494</v>
      </c>
      <c r="Y115" t="s">
        <v>1495</v>
      </c>
      <c r="Z115" t="s">
        <v>1456</v>
      </c>
      <c r="AA115" t="s">
        <v>1496</v>
      </c>
      <c r="AB115">
        <v>7012973028</v>
      </c>
      <c r="AC115">
        <v>7012379073</v>
      </c>
      <c r="AD115">
        <v>7012351582</v>
      </c>
      <c r="AE115" t="s">
        <v>1492</v>
      </c>
      <c r="AF115" t="s">
        <v>1491</v>
      </c>
      <c r="AG115" t="s">
        <v>1451</v>
      </c>
      <c r="AH115" t="s">
        <v>1452</v>
      </c>
      <c r="AI115" t="s">
        <v>1453</v>
      </c>
      <c r="AJ115" t="s">
        <v>992</v>
      </c>
      <c r="AK115" s="576">
        <v>58078</v>
      </c>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t="s">
        <v>1494</v>
      </c>
      <c r="BR115" t="s">
        <v>1495</v>
      </c>
      <c r="BS115" t="s">
        <v>1456</v>
      </c>
      <c r="BT115" t="s">
        <v>1496</v>
      </c>
      <c r="BU115">
        <v>7012973028</v>
      </c>
      <c r="BV115">
        <v>7012379073</v>
      </c>
      <c r="BW115">
        <v>7012351582</v>
      </c>
      <c r="BX115" t="s">
        <v>1492</v>
      </c>
      <c r="BY115" t="s">
        <v>1491</v>
      </c>
      <c r="BZ115" t="s">
        <v>1451</v>
      </c>
      <c r="CA115" t="s">
        <v>1452</v>
      </c>
      <c r="CB115" t="s">
        <v>1453</v>
      </c>
      <c r="CC115" t="s">
        <v>992</v>
      </c>
      <c r="CD115" s="576">
        <v>58078</v>
      </c>
      <c r="CE115"/>
      <c r="CF115" t="s">
        <v>1497</v>
      </c>
      <c r="CG115" t="s">
        <v>1496</v>
      </c>
      <c r="CH115" t="s">
        <v>141</v>
      </c>
      <c r="CI115"/>
      <c r="CJ115"/>
      <c r="CK115"/>
      <c r="CL115"/>
      <c r="CM115">
        <v>1972553758</v>
      </c>
      <c r="CN115">
        <v>244</v>
      </c>
      <c r="CO115">
        <v>143</v>
      </c>
      <c r="CP115"/>
      <c r="CQ115"/>
      <c r="CR115">
        <v>143</v>
      </c>
      <c r="CS115" t="s">
        <v>788</v>
      </c>
      <c r="CT115">
        <v>12</v>
      </c>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v>63</v>
      </c>
      <c r="ES115"/>
      <c r="ET115"/>
      <c r="EU115"/>
      <c r="EV115" s="439">
        <v>836</v>
      </c>
      <c r="EW115" t="s">
        <v>1262</v>
      </c>
      <c r="EX115" t="s">
        <v>1263</v>
      </c>
      <c r="EY115" t="s">
        <v>1264</v>
      </c>
      <c r="EZ115" t="s">
        <v>54</v>
      </c>
      <c r="FA115">
        <v>55723</v>
      </c>
      <c r="FB115"/>
    </row>
    <row r="116" spans="1:158" x14ac:dyDescent="0.2">
      <c r="A116" s="439">
        <v>982</v>
      </c>
      <c r="B116" t="s">
        <v>1506</v>
      </c>
      <c r="C116" t="s">
        <v>1490</v>
      </c>
      <c r="D116" t="s">
        <v>1491</v>
      </c>
      <c r="E116" t="s">
        <v>1451</v>
      </c>
      <c r="F116" t="s">
        <v>1453</v>
      </c>
      <c r="G116" t="s">
        <v>992</v>
      </c>
      <c r="H116" s="576">
        <v>58078</v>
      </c>
      <c r="I116"/>
      <c r="J116" t="s">
        <v>1491</v>
      </c>
      <c r="K116" t="s">
        <v>1451</v>
      </c>
      <c r="L116" t="s">
        <v>1452</v>
      </c>
      <c r="M116" t="s">
        <v>1453</v>
      </c>
      <c r="N116" t="s">
        <v>992</v>
      </c>
      <c r="O116" s="576">
        <v>58078</v>
      </c>
      <c r="P116"/>
      <c r="Q116">
        <v>7012379073</v>
      </c>
      <c r="R116">
        <v>7012973077</v>
      </c>
      <c r="S116" t="s">
        <v>749</v>
      </c>
      <c r="T116" t="s">
        <v>749</v>
      </c>
      <c r="U116" t="s">
        <v>749</v>
      </c>
      <c r="V116" t="s">
        <v>1492</v>
      </c>
      <c r="W116" t="s">
        <v>1493</v>
      </c>
      <c r="X116" t="s">
        <v>1494</v>
      </c>
      <c r="Y116" t="s">
        <v>1495</v>
      </c>
      <c r="Z116" t="s">
        <v>1456</v>
      </c>
      <c r="AA116" t="s">
        <v>1496</v>
      </c>
      <c r="AB116">
        <v>7012973028</v>
      </c>
      <c r="AC116">
        <v>7012379073</v>
      </c>
      <c r="AD116">
        <v>7012351582</v>
      </c>
      <c r="AE116" t="s">
        <v>1492</v>
      </c>
      <c r="AF116" t="s">
        <v>1491</v>
      </c>
      <c r="AG116" t="s">
        <v>1451</v>
      </c>
      <c r="AH116" t="s">
        <v>1452</v>
      </c>
      <c r="AI116" t="s">
        <v>1453</v>
      </c>
      <c r="AJ116" t="s">
        <v>992</v>
      </c>
      <c r="AK116" s="576">
        <v>58078</v>
      </c>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t="s">
        <v>1494</v>
      </c>
      <c r="BR116" t="s">
        <v>1495</v>
      </c>
      <c r="BS116" t="s">
        <v>1456</v>
      </c>
      <c r="BT116" t="s">
        <v>1496</v>
      </c>
      <c r="BU116">
        <v>7012973028</v>
      </c>
      <c r="BV116">
        <v>7012379073</v>
      </c>
      <c r="BW116">
        <v>7012351582</v>
      </c>
      <c r="BX116" t="s">
        <v>1492</v>
      </c>
      <c r="BY116" t="s">
        <v>1491</v>
      </c>
      <c r="BZ116" t="s">
        <v>1451</v>
      </c>
      <c r="CA116" t="s">
        <v>1452</v>
      </c>
      <c r="CB116" t="s">
        <v>1453</v>
      </c>
      <c r="CC116" t="s">
        <v>992</v>
      </c>
      <c r="CD116" s="576">
        <v>58078</v>
      </c>
      <c r="CE116"/>
      <c r="CF116" t="s">
        <v>1497</v>
      </c>
      <c r="CG116" t="s">
        <v>1496</v>
      </c>
      <c r="CH116" t="s">
        <v>141</v>
      </c>
      <c r="CI116"/>
      <c r="CJ116"/>
      <c r="CK116"/>
      <c r="CL116"/>
      <c r="CM116">
        <v>1972553758</v>
      </c>
      <c r="CN116">
        <v>244</v>
      </c>
      <c r="CO116">
        <v>143</v>
      </c>
      <c r="CP116"/>
      <c r="CQ116"/>
      <c r="CR116">
        <v>143</v>
      </c>
      <c r="CS116" t="s">
        <v>788</v>
      </c>
      <c r="CT116">
        <v>12</v>
      </c>
      <c r="CU116"/>
      <c r="CV116"/>
      <c r="CW116"/>
      <c r="CX116"/>
      <c r="CY116"/>
      <c r="CZ116"/>
      <c r="DA116"/>
      <c r="DB116"/>
      <c r="DC116"/>
      <c r="DD116"/>
      <c r="DE116"/>
      <c r="DF116"/>
      <c r="DG116"/>
      <c r="DH116"/>
      <c r="DI116"/>
      <c r="DJ116"/>
      <c r="DK116"/>
      <c r="DL116"/>
      <c r="DM116"/>
      <c r="DN116"/>
      <c r="DO116"/>
      <c r="DP116"/>
      <c r="DQ116"/>
      <c r="DR116"/>
      <c r="DS116"/>
      <c r="DT116"/>
      <c r="DU116"/>
      <c r="DV116"/>
      <c r="DW116"/>
      <c r="DX116"/>
      <c r="DY116"/>
      <c r="DZ116"/>
      <c r="EA116"/>
      <c r="EB116"/>
      <c r="EC116"/>
      <c r="ED116"/>
      <c r="EE116"/>
      <c r="EF116"/>
      <c r="EG116"/>
      <c r="EH116"/>
      <c r="EI116"/>
      <c r="EJ116"/>
      <c r="EK116"/>
      <c r="EL116"/>
      <c r="EM116"/>
      <c r="EN116"/>
      <c r="EO116"/>
      <c r="EP116"/>
      <c r="EQ116"/>
      <c r="ER116">
        <v>63</v>
      </c>
      <c r="ES116"/>
      <c r="ET116"/>
      <c r="EU116"/>
      <c r="EV116" s="439">
        <v>29</v>
      </c>
      <c r="EW116" t="s">
        <v>2836</v>
      </c>
      <c r="EX116" t="s">
        <v>1263</v>
      </c>
      <c r="EY116" t="s">
        <v>2837</v>
      </c>
      <c r="EZ116" t="s">
        <v>54</v>
      </c>
      <c r="FA116">
        <v>55723</v>
      </c>
      <c r="FB116">
        <v>1992763858</v>
      </c>
    </row>
    <row r="117" spans="1:158" x14ac:dyDescent="0.2">
      <c r="A117" s="439">
        <v>671</v>
      </c>
      <c r="B117" t="s">
        <v>1507</v>
      </c>
      <c r="C117" t="s">
        <v>1490</v>
      </c>
      <c r="D117" t="s">
        <v>1491</v>
      </c>
      <c r="E117" t="s">
        <v>1451</v>
      </c>
      <c r="F117" t="s">
        <v>1453</v>
      </c>
      <c r="G117" t="s">
        <v>992</v>
      </c>
      <c r="H117" s="576">
        <v>58078</v>
      </c>
      <c r="I117"/>
      <c r="J117" t="s">
        <v>1491</v>
      </c>
      <c r="K117" t="s">
        <v>1451</v>
      </c>
      <c r="L117" t="s">
        <v>1452</v>
      </c>
      <c r="M117" t="s">
        <v>1453</v>
      </c>
      <c r="N117" t="s">
        <v>992</v>
      </c>
      <c r="O117" s="576">
        <v>58078</v>
      </c>
      <c r="P117"/>
      <c r="Q117">
        <v>7012379073</v>
      </c>
      <c r="R117">
        <v>7012351582</v>
      </c>
      <c r="S117" t="s">
        <v>749</v>
      </c>
      <c r="T117" t="s">
        <v>749</v>
      </c>
      <c r="U117" t="s">
        <v>749</v>
      </c>
      <c r="V117" t="s">
        <v>1492</v>
      </c>
      <c r="W117" t="s">
        <v>1493</v>
      </c>
      <c r="X117" t="s">
        <v>1494</v>
      </c>
      <c r="Y117" t="s">
        <v>1495</v>
      </c>
      <c r="Z117" t="s">
        <v>1456</v>
      </c>
      <c r="AA117" t="s">
        <v>1496</v>
      </c>
      <c r="AB117">
        <v>7012973028</v>
      </c>
      <c r="AC117">
        <v>7012379073</v>
      </c>
      <c r="AD117">
        <v>7012351582</v>
      </c>
      <c r="AE117" t="s">
        <v>1492</v>
      </c>
      <c r="AF117" t="s">
        <v>1491</v>
      </c>
      <c r="AG117" t="s">
        <v>1451</v>
      </c>
      <c r="AH117" t="s">
        <v>1452</v>
      </c>
      <c r="AI117" t="s">
        <v>1453</v>
      </c>
      <c r="AJ117" t="s">
        <v>992</v>
      </c>
      <c r="AK117" s="576">
        <v>58078</v>
      </c>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t="s">
        <v>1494</v>
      </c>
      <c r="BR117" t="s">
        <v>1495</v>
      </c>
      <c r="BS117" t="s">
        <v>1456</v>
      </c>
      <c r="BT117" t="s">
        <v>1496</v>
      </c>
      <c r="BU117">
        <v>7012973028</v>
      </c>
      <c r="BV117">
        <v>7012379073</v>
      </c>
      <c r="BW117">
        <v>7012351582</v>
      </c>
      <c r="BX117" t="s">
        <v>1492</v>
      </c>
      <c r="BY117" t="s">
        <v>1491</v>
      </c>
      <c r="BZ117" t="s">
        <v>1451</v>
      </c>
      <c r="CA117" t="s">
        <v>1452</v>
      </c>
      <c r="CB117" t="s">
        <v>1453</v>
      </c>
      <c r="CC117" t="s">
        <v>992</v>
      </c>
      <c r="CD117" s="576">
        <v>58078</v>
      </c>
      <c r="CE117"/>
      <c r="CF117" t="s">
        <v>1497</v>
      </c>
      <c r="CG117" t="s">
        <v>1496</v>
      </c>
      <c r="CH117" t="s">
        <v>141</v>
      </c>
      <c r="CI117"/>
      <c r="CJ117"/>
      <c r="CK117"/>
      <c r="CL117"/>
      <c r="CM117">
        <v>1972553758</v>
      </c>
      <c r="CN117">
        <v>244</v>
      </c>
      <c r="CO117">
        <v>143</v>
      </c>
      <c r="CP117"/>
      <c r="CQ117"/>
      <c r="CR117">
        <v>143</v>
      </c>
      <c r="CS117" t="s">
        <v>788</v>
      </c>
      <c r="CT117">
        <v>12</v>
      </c>
      <c r="CU117"/>
      <c r="CV117"/>
      <c r="CW117"/>
      <c r="CX117"/>
      <c r="CY117"/>
      <c r="CZ117"/>
      <c r="DA117"/>
      <c r="DB117"/>
      <c r="DC117"/>
      <c r="DD117"/>
      <c r="DE117"/>
      <c r="DF117"/>
      <c r="DG117"/>
      <c r="DH117"/>
      <c r="DI117"/>
      <c r="DJ117"/>
      <c r="DK117"/>
      <c r="DL117"/>
      <c r="DM117"/>
      <c r="DN117"/>
      <c r="DO117"/>
      <c r="DP117"/>
      <c r="DQ117"/>
      <c r="DR117"/>
      <c r="DS117"/>
      <c r="DT117"/>
      <c r="DU117"/>
      <c r="DV117"/>
      <c r="DW117"/>
      <c r="DX117"/>
      <c r="DY117"/>
      <c r="DZ117"/>
      <c r="EA117"/>
      <c r="EB117"/>
      <c r="EC117"/>
      <c r="ED117"/>
      <c r="EE117"/>
      <c r="EF117"/>
      <c r="EG117"/>
      <c r="EH117"/>
      <c r="EI117"/>
      <c r="EJ117"/>
      <c r="EK117"/>
      <c r="EL117"/>
      <c r="EM117"/>
      <c r="EN117"/>
      <c r="EO117"/>
      <c r="EP117"/>
      <c r="EQ117"/>
      <c r="ER117">
        <v>63</v>
      </c>
      <c r="ES117"/>
      <c r="ET117"/>
      <c r="EU117"/>
      <c r="EV117" s="439">
        <v>812</v>
      </c>
      <c r="EW117" t="s">
        <v>2838</v>
      </c>
      <c r="EX117" t="s">
        <v>1110</v>
      </c>
      <c r="EY117" t="s">
        <v>2839</v>
      </c>
      <c r="EZ117" t="s">
        <v>54</v>
      </c>
      <c r="FA117">
        <v>55433</v>
      </c>
      <c r="FB117"/>
    </row>
    <row r="118" spans="1:158" x14ac:dyDescent="0.2">
      <c r="A118" s="439">
        <v>1692</v>
      </c>
      <c r="B118" t="s">
        <v>1508</v>
      </c>
      <c r="C118" t="s">
        <v>1490</v>
      </c>
      <c r="D118" t="s">
        <v>1491</v>
      </c>
      <c r="E118" t="s">
        <v>1451</v>
      </c>
      <c r="F118" t="s">
        <v>1453</v>
      </c>
      <c r="G118" t="s">
        <v>992</v>
      </c>
      <c r="H118" s="576">
        <v>58078</v>
      </c>
      <c r="I118"/>
      <c r="J118" t="s">
        <v>1491</v>
      </c>
      <c r="K118" t="s">
        <v>1451</v>
      </c>
      <c r="L118" t="s">
        <v>1452</v>
      </c>
      <c r="M118" t="s">
        <v>1453</v>
      </c>
      <c r="N118" t="s">
        <v>992</v>
      </c>
      <c r="O118" s="576">
        <v>58078</v>
      </c>
      <c r="P118"/>
      <c r="Q118">
        <v>7012379073</v>
      </c>
      <c r="R118">
        <v>7012351582</v>
      </c>
      <c r="S118" t="s">
        <v>749</v>
      </c>
      <c r="T118" t="s">
        <v>749</v>
      </c>
      <c r="U118" t="s">
        <v>749</v>
      </c>
      <c r="V118" t="s">
        <v>1492</v>
      </c>
      <c r="W118" t="s">
        <v>1493</v>
      </c>
      <c r="X118" t="s">
        <v>1494</v>
      </c>
      <c r="Y118" t="s">
        <v>1495</v>
      </c>
      <c r="Z118" t="s">
        <v>1456</v>
      </c>
      <c r="AA118" t="s">
        <v>1496</v>
      </c>
      <c r="AB118">
        <v>7012973028</v>
      </c>
      <c r="AC118">
        <v>7012379073</v>
      </c>
      <c r="AD118">
        <v>7012351582</v>
      </c>
      <c r="AE118" t="s">
        <v>1492</v>
      </c>
      <c r="AF118" t="s">
        <v>1491</v>
      </c>
      <c r="AG118" t="s">
        <v>1451</v>
      </c>
      <c r="AH118" t="s">
        <v>1452</v>
      </c>
      <c r="AI118" t="s">
        <v>1453</v>
      </c>
      <c r="AJ118" t="s">
        <v>992</v>
      </c>
      <c r="AK118" s="576">
        <v>58078</v>
      </c>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t="s">
        <v>1494</v>
      </c>
      <c r="BR118" t="s">
        <v>1495</v>
      </c>
      <c r="BS118" t="s">
        <v>1456</v>
      </c>
      <c r="BT118" t="s">
        <v>1496</v>
      </c>
      <c r="BU118">
        <v>7012973028</v>
      </c>
      <c r="BV118">
        <v>7012379073</v>
      </c>
      <c r="BW118">
        <v>7012351582</v>
      </c>
      <c r="BX118" t="s">
        <v>1492</v>
      </c>
      <c r="BY118" t="s">
        <v>1491</v>
      </c>
      <c r="BZ118" t="s">
        <v>1451</v>
      </c>
      <c r="CA118" t="s">
        <v>1452</v>
      </c>
      <c r="CB118" t="s">
        <v>1453</v>
      </c>
      <c r="CC118" t="s">
        <v>992</v>
      </c>
      <c r="CD118" s="576">
        <v>58078</v>
      </c>
      <c r="CE118"/>
      <c r="CF118" t="s">
        <v>1497</v>
      </c>
      <c r="CG118" t="s">
        <v>1496</v>
      </c>
      <c r="CH118" t="s">
        <v>141</v>
      </c>
      <c r="CI118"/>
      <c r="CJ118"/>
      <c r="CK118"/>
      <c r="CL118"/>
      <c r="CM118">
        <v>1972553758</v>
      </c>
      <c r="CN118">
        <v>244</v>
      </c>
      <c r="CO118">
        <v>143</v>
      </c>
      <c r="CP118"/>
      <c r="CQ118"/>
      <c r="CR118">
        <v>143</v>
      </c>
      <c r="CS118" t="s">
        <v>788</v>
      </c>
      <c r="CT118">
        <v>12</v>
      </c>
      <c r="CU118"/>
      <c r="CV118"/>
      <c r="CW118"/>
      <c r="CX118"/>
      <c r="CY118"/>
      <c r="CZ118"/>
      <c r="DA118"/>
      <c r="DB118"/>
      <c r="DC118"/>
      <c r="DD118"/>
      <c r="DE118"/>
      <c r="DF118"/>
      <c r="DG118"/>
      <c r="DH118"/>
      <c r="DI118"/>
      <c r="DJ118"/>
      <c r="DK118"/>
      <c r="DL118"/>
      <c r="DM118"/>
      <c r="DN118"/>
      <c r="DO118"/>
      <c r="DP118"/>
      <c r="DQ118"/>
      <c r="DR118"/>
      <c r="DS118"/>
      <c r="DT118"/>
      <c r="DU118"/>
      <c r="DV118"/>
      <c r="DW118"/>
      <c r="DX118"/>
      <c r="DY118"/>
      <c r="DZ118"/>
      <c r="EA118"/>
      <c r="EB118"/>
      <c r="EC118"/>
      <c r="ED118"/>
      <c r="EE118"/>
      <c r="EF118"/>
      <c r="EG118"/>
      <c r="EH118"/>
      <c r="EI118"/>
      <c r="EJ118"/>
      <c r="EK118"/>
      <c r="EL118"/>
      <c r="EM118"/>
      <c r="EN118"/>
      <c r="EO118"/>
      <c r="EP118"/>
      <c r="EQ118"/>
      <c r="ER118">
        <v>63</v>
      </c>
      <c r="ES118"/>
      <c r="ET118"/>
      <c r="EU118"/>
      <c r="EV118" s="439">
        <v>517</v>
      </c>
      <c r="EW118" t="s">
        <v>1109</v>
      </c>
      <c r="EX118" t="s">
        <v>1110</v>
      </c>
      <c r="EY118" t="s">
        <v>1111</v>
      </c>
      <c r="EZ118" t="s">
        <v>54</v>
      </c>
      <c r="FA118">
        <v>55433</v>
      </c>
      <c r="FB118">
        <v>1659348092</v>
      </c>
    </row>
    <row r="119" spans="1:158" x14ac:dyDescent="0.2">
      <c r="A119" s="439">
        <v>645</v>
      </c>
      <c r="B119" t="s">
        <v>1509</v>
      </c>
      <c r="C119" t="s">
        <v>1490</v>
      </c>
      <c r="D119" t="s">
        <v>1491</v>
      </c>
      <c r="E119" t="s">
        <v>1451</v>
      </c>
      <c r="F119" t="s">
        <v>1453</v>
      </c>
      <c r="G119" t="s">
        <v>992</v>
      </c>
      <c r="H119" s="576">
        <v>58078</v>
      </c>
      <c r="I119"/>
      <c r="J119" t="s">
        <v>1491</v>
      </c>
      <c r="K119" t="s">
        <v>1451</v>
      </c>
      <c r="L119" t="s">
        <v>1452</v>
      </c>
      <c r="M119" t="s">
        <v>1453</v>
      </c>
      <c r="N119" t="s">
        <v>992</v>
      </c>
      <c r="O119" s="576">
        <v>58078</v>
      </c>
      <c r="P119"/>
      <c r="Q119">
        <v>7012379073</v>
      </c>
      <c r="R119">
        <v>7012973077</v>
      </c>
      <c r="S119" t="s">
        <v>749</v>
      </c>
      <c r="T119" t="s">
        <v>749</v>
      </c>
      <c r="U119" t="s">
        <v>749</v>
      </c>
      <c r="V119" t="s">
        <v>1492</v>
      </c>
      <c r="W119" t="s">
        <v>1493</v>
      </c>
      <c r="X119" t="s">
        <v>1494</v>
      </c>
      <c r="Y119" t="s">
        <v>1495</v>
      </c>
      <c r="Z119" t="s">
        <v>1456</v>
      </c>
      <c r="AA119" t="s">
        <v>1496</v>
      </c>
      <c r="AB119">
        <v>7012973028</v>
      </c>
      <c r="AC119">
        <v>7012379073</v>
      </c>
      <c r="AD119">
        <v>7012351582</v>
      </c>
      <c r="AE119" t="s">
        <v>1492</v>
      </c>
      <c r="AF119" t="s">
        <v>1491</v>
      </c>
      <c r="AG119" t="s">
        <v>1451</v>
      </c>
      <c r="AH119" t="s">
        <v>1452</v>
      </c>
      <c r="AI119" t="s">
        <v>1453</v>
      </c>
      <c r="AJ119" t="s">
        <v>992</v>
      </c>
      <c r="AK119" s="576">
        <v>58078</v>
      </c>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t="s">
        <v>1494</v>
      </c>
      <c r="BR119" t="s">
        <v>1495</v>
      </c>
      <c r="BS119" t="s">
        <v>1456</v>
      </c>
      <c r="BT119" t="s">
        <v>1496</v>
      </c>
      <c r="BU119">
        <v>7012973028</v>
      </c>
      <c r="BV119">
        <v>7012379073</v>
      </c>
      <c r="BW119">
        <v>7012351582</v>
      </c>
      <c r="BX119" t="s">
        <v>1492</v>
      </c>
      <c r="BY119" t="s">
        <v>1491</v>
      </c>
      <c r="BZ119" t="s">
        <v>1451</v>
      </c>
      <c r="CA119" t="s">
        <v>1452</v>
      </c>
      <c r="CB119" t="s">
        <v>1453</v>
      </c>
      <c r="CC119" t="s">
        <v>992</v>
      </c>
      <c r="CD119" s="576">
        <v>58078</v>
      </c>
      <c r="CE119"/>
      <c r="CF119" t="s">
        <v>1497</v>
      </c>
      <c r="CG119" t="s">
        <v>1496</v>
      </c>
      <c r="CH119" t="s">
        <v>141</v>
      </c>
      <c r="CI119"/>
      <c r="CJ119"/>
      <c r="CK119"/>
      <c r="CL119"/>
      <c r="CM119">
        <v>1972553758</v>
      </c>
      <c r="CN119">
        <v>244</v>
      </c>
      <c r="CO119">
        <v>143</v>
      </c>
      <c r="CP119"/>
      <c r="CQ119"/>
      <c r="CR119">
        <v>143</v>
      </c>
      <c r="CS119" t="s">
        <v>788</v>
      </c>
      <c r="CT119">
        <v>12</v>
      </c>
      <c r="CU119"/>
      <c r="CV119"/>
      <c r="CW119"/>
      <c r="CX119"/>
      <c r="CY119"/>
      <c r="CZ119"/>
      <c r="DA119"/>
      <c r="DB119"/>
      <c r="DC119"/>
      <c r="DD119"/>
      <c r="DE119"/>
      <c r="DF119"/>
      <c r="DG119"/>
      <c r="DH119"/>
      <c r="DI119"/>
      <c r="DJ119"/>
      <c r="DK119"/>
      <c r="DL119"/>
      <c r="DM119"/>
      <c r="DN119"/>
      <c r="DO119"/>
      <c r="DP119"/>
      <c r="DQ119"/>
      <c r="DR119"/>
      <c r="DS119"/>
      <c r="DT119"/>
      <c r="DU119"/>
      <c r="DV119"/>
      <c r="DW119"/>
      <c r="DX119"/>
      <c r="DY119"/>
      <c r="DZ119"/>
      <c r="EA119"/>
      <c r="EB119"/>
      <c r="EC119"/>
      <c r="ED119"/>
      <c r="EE119"/>
      <c r="EF119"/>
      <c r="EG119"/>
      <c r="EH119"/>
      <c r="EI119"/>
      <c r="EJ119"/>
      <c r="EK119"/>
      <c r="EL119"/>
      <c r="EM119"/>
      <c r="EN119"/>
      <c r="EO119"/>
      <c r="EP119"/>
      <c r="EQ119"/>
      <c r="ER119">
        <v>63</v>
      </c>
      <c r="ES119"/>
      <c r="ET119"/>
      <c r="EU119"/>
      <c r="EV119" s="439">
        <v>814</v>
      </c>
      <c r="EW119" t="s">
        <v>2840</v>
      </c>
      <c r="EX119" t="s">
        <v>1110</v>
      </c>
      <c r="EY119" t="s">
        <v>2841</v>
      </c>
      <c r="EZ119" t="s">
        <v>54</v>
      </c>
      <c r="FA119">
        <v>55432</v>
      </c>
      <c r="FB119"/>
    </row>
    <row r="120" spans="1:158" x14ac:dyDescent="0.2">
      <c r="A120" s="439">
        <v>647</v>
      </c>
      <c r="B120" t="s">
        <v>1510</v>
      </c>
      <c r="C120" t="s">
        <v>1490</v>
      </c>
      <c r="D120" t="s">
        <v>1491</v>
      </c>
      <c r="E120" t="s">
        <v>1451</v>
      </c>
      <c r="F120" t="s">
        <v>1453</v>
      </c>
      <c r="G120" t="s">
        <v>992</v>
      </c>
      <c r="H120" s="576">
        <v>58078</v>
      </c>
      <c r="I120"/>
      <c r="J120" t="s">
        <v>1491</v>
      </c>
      <c r="K120" t="s">
        <v>1451</v>
      </c>
      <c r="L120" t="s">
        <v>1452</v>
      </c>
      <c r="M120" t="s">
        <v>1453</v>
      </c>
      <c r="N120" t="s">
        <v>992</v>
      </c>
      <c r="O120" s="576">
        <v>58078</v>
      </c>
      <c r="P120"/>
      <c r="Q120">
        <v>7012379073</v>
      </c>
      <c r="R120">
        <v>7012351582</v>
      </c>
      <c r="S120" t="s">
        <v>749</v>
      </c>
      <c r="T120" t="s">
        <v>749</v>
      </c>
      <c r="U120" t="s">
        <v>749</v>
      </c>
      <c r="V120" t="s">
        <v>1492</v>
      </c>
      <c r="W120" t="s">
        <v>1493</v>
      </c>
      <c r="X120" t="s">
        <v>1494</v>
      </c>
      <c r="Y120" t="s">
        <v>1495</v>
      </c>
      <c r="Z120" t="s">
        <v>1456</v>
      </c>
      <c r="AA120" t="s">
        <v>1496</v>
      </c>
      <c r="AB120">
        <v>7012973028</v>
      </c>
      <c r="AC120">
        <v>7012379073</v>
      </c>
      <c r="AD120">
        <v>7012351582</v>
      </c>
      <c r="AE120" t="s">
        <v>1492</v>
      </c>
      <c r="AF120" t="s">
        <v>1491</v>
      </c>
      <c r="AG120" t="s">
        <v>1451</v>
      </c>
      <c r="AH120" t="s">
        <v>1452</v>
      </c>
      <c r="AI120" t="s">
        <v>1453</v>
      </c>
      <c r="AJ120" t="s">
        <v>992</v>
      </c>
      <c r="AK120" s="576">
        <v>58078</v>
      </c>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t="s">
        <v>1494</v>
      </c>
      <c r="BR120" t="s">
        <v>1495</v>
      </c>
      <c r="BS120" t="s">
        <v>1456</v>
      </c>
      <c r="BT120" t="s">
        <v>1496</v>
      </c>
      <c r="BU120">
        <v>7012973028</v>
      </c>
      <c r="BV120">
        <v>7012379073</v>
      </c>
      <c r="BW120">
        <v>7012351582</v>
      </c>
      <c r="BX120" t="s">
        <v>1492</v>
      </c>
      <c r="BY120" t="s">
        <v>1491</v>
      </c>
      <c r="BZ120" t="s">
        <v>1451</v>
      </c>
      <c r="CA120" t="s">
        <v>1452</v>
      </c>
      <c r="CB120" t="s">
        <v>1453</v>
      </c>
      <c r="CC120" t="s">
        <v>992</v>
      </c>
      <c r="CD120" s="576">
        <v>58078</v>
      </c>
      <c r="CE120"/>
      <c r="CF120" t="s">
        <v>1497</v>
      </c>
      <c r="CG120" t="s">
        <v>1496</v>
      </c>
      <c r="CH120" t="s">
        <v>141</v>
      </c>
      <c r="CI120"/>
      <c r="CJ120"/>
      <c r="CK120"/>
      <c r="CL120"/>
      <c r="CM120">
        <v>1972553758</v>
      </c>
      <c r="CN120">
        <v>244</v>
      </c>
      <c r="CO120">
        <v>143</v>
      </c>
      <c r="CP120"/>
      <c r="CQ120"/>
      <c r="CR120">
        <v>143</v>
      </c>
      <c r="CS120" t="s">
        <v>788</v>
      </c>
      <c r="CT120">
        <v>12</v>
      </c>
      <c r="CU120"/>
      <c r="CV120"/>
      <c r="CW120"/>
      <c r="CX120"/>
      <c r="CY120"/>
      <c r="CZ120"/>
      <c r="DA120"/>
      <c r="DB120"/>
      <c r="DC120"/>
      <c r="DD120"/>
      <c r="DE120"/>
      <c r="DF120"/>
      <c r="DG120"/>
      <c r="DH120"/>
      <c r="DI120"/>
      <c r="DJ120"/>
      <c r="DK120"/>
      <c r="DL120"/>
      <c r="DM120"/>
      <c r="DN120"/>
      <c r="DO120"/>
      <c r="DP120"/>
      <c r="DQ120"/>
      <c r="DR120"/>
      <c r="DS120"/>
      <c r="DT120"/>
      <c r="DU120"/>
      <c r="DV120"/>
      <c r="DW120"/>
      <c r="DX120"/>
      <c r="DY120"/>
      <c r="DZ120"/>
      <c r="EA120"/>
      <c r="EB120"/>
      <c r="EC120"/>
      <c r="ED120"/>
      <c r="EE120"/>
      <c r="EF120"/>
      <c r="EG120"/>
      <c r="EH120"/>
      <c r="EI120"/>
      <c r="EJ120"/>
      <c r="EK120"/>
      <c r="EL120"/>
      <c r="EM120"/>
      <c r="EN120"/>
      <c r="EO120"/>
      <c r="EP120"/>
      <c r="EQ120"/>
      <c r="ER120">
        <v>63</v>
      </c>
      <c r="ES120"/>
      <c r="ET120"/>
      <c r="EU120"/>
      <c r="EV120" s="439">
        <v>84</v>
      </c>
      <c r="EW120" t="s">
        <v>2842</v>
      </c>
      <c r="EX120" t="s">
        <v>1110</v>
      </c>
      <c r="EY120" t="s">
        <v>2843</v>
      </c>
      <c r="EZ120" t="s">
        <v>54</v>
      </c>
      <c r="FA120">
        <v>55433</v>
      </c>
      <c r="FB120">
        <v>1316904287</v>
      </c>
    </row>
    <row r="121" spans="1:158" x14ac:dyDescent="0.2">
      <c r="A121" s="439">
        <v>911</v>
      </c>
      <c r="B121" t="s">
        <v>1511</v>
      </c>
      <c r="C121" t="s">
        <v>1490</v>
      </c>
      <c r="D121" t="s">
        <v>1491</v>
      </c>
      <c r="E121" t="s">
        <v>1451</v>
      </c>
      <c r="F121" t="s">
        <v>1453</v>
      </c>
      <c r="G121" t="s">
        <v>992</v>
      </c>
      <c r="H121" s="576">
        <v>58078</v>
      </c>
      <c r="I121"/>
      <c r="J121" t="s">
        <v>1491</v>
      </c>
      <c r="K121" t="s">
        <v>1451</v>
      </c>
      <c r="L121" t="s">
        <v>1452</v>
      </c>
      <c r="M121" t="s">
        <v>1453</v>
      </c>
      <c r="N121" t="s">
        <v>992</v>
      </c>
      <c r="O121" s="576">
        <v>58078</v>
      </c>
      <c r="P121"/>
      <c r="Q121">
        <v>7012379073</v>
      </c>
      <c r="R121">
        <v>7012351582</v>
      </c>
      <c r="S121" t="s">
        <v>749</v>
      </c>
      <c r="T121" t="s">
        <v>749</v>
      </c>
      <c r="U121" t="s">
        <v>749</v>
      </c>
      <c r="V121" t="s">
        <v>1492</v>
      </c>
      <c r="W121" t="s">
        <v>1493</v>
      </c>
      <c r="X121" t="s">
        <v>1494</v>
      </c>
      <c r="Y121" t="s">
        <v>1495</v>
      </c>
      <c r="Z121" t="s">
        <v>1456</v>
      </c>
      <c r="AA121" t="s">
        <v>1496</v>
      </c>
      <c r="AB121">
        <v>7012973028</v>
      </c>
      <c r="AC121">
        <v>7012379073</v>
      </c>
      <c r="AD121">
        <v>7012351582</v>
      </c>
      <c r="AE121" t="s">
        <v>1492</v>
      </c>
      <c r="AF121" t="s">
        <v>1491</v>
      </c>
      <c r="AG121" t="s">
        <v>1451</v>
      </c>
      <c r="AH121" t="s">
        <v>1452</v>
      </c>
      <c r="AI121" t="s">
        <v>1453</v>
      </c>
      <c r="AJ121" t="s">
        <v>992</v>
      </c>
      <c r="AK121" s="576">
        <v>58078</v>
      </c>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t="s">
        <v>1494</v>
      </c>
      <c r="BR121" t="s">
        <v>1495</v>
      </c>
      <c r="BS121" t="s">
        <v>1456</v>
      </c>
      <c r="BT121" t="s">
        <v>1496</v>
      </c>
      <c r="BU121">
        <v>7012973028</v>
      </c>
      <c r="BV121">
        <v>7012379073</v>
      </c>
      <c r="BW121">
        <v>7012351582</v>
      </c>
      <c r="BX121" t="s">
        <v>1492</v>
      </c>
      <c r="BY121" t="s">
        <v>1491</v>
      </c>
      <c r="BZ121" t="s">
        <v>1451</v>
      </c>
      <c r="CA121" t="s">
        <v>1452</v>
      </c>
      <c r="CB121" t="s">
        <v>1453</v>
      </c>
      <c r="CC121" t="s">
        <v>992</v>
      </c>
      <c r="CD121" s="576">
        <v>58078</v>
      </c>
      <c r="CE121"/>
      <c r="CF121" t="s">
        <v>1497</v>
      </c>
      <c r="CG121" t="s">
        <v>1496</v>
      </c>
      <c r="CH121" t="s">
        <v>141</v>
      </c>
      <c r="CI121"/>
      <c r="CJ121"/>
      <c r="CK121"/>
      <c r="CL121"/>
      <c r="CM121">
        <v>1972553758</v>
      </c>
      <c r="CN121">
        <v>244</v>
      </c>
      <c r="CO121">
        <v>143</v>
      </c>
      <c r="CP121"/>
      <c r="CQ121"/>
      <c r="CR121">
        <v>143</v>
      </c>
      <c r="CS121" t="s">
        <v>788</v>
      </c>
      <c r="CT121">
        <v>12</v>
      </c>
      <c r="CU121"/>
      <c r="CV121"/>
      <c r="CW121"/>
      <c r="CX121"/>
      <c r="CY121"/>
      <c r="CZ121"/>
      <c r="DA121"/>
      <c r="DB121"/>
      <c r="DC121"/>
      <c r="DD121"/>
      <c r="DE121"/>
      <c r="DF121"/>
      <c r="DG121"/>
      <c r="DH121"/>
      <c r="DI121"/>
      <c r="DJ121"/>
      <c r="DK121"/>
      <c r="DL121"/>
      <c r="DM121"/>
      <c r="DN121"/>
      <c r="DO121"/>
      <c r="DP121"/>
      <c r="DQ121"/>
      <c r="DR121"/>
      <c r="DS121"/>
      <c r="DT121"/>
      <c r="DU121"/>
      <c r="DV121"/>
      <c r="DW121"/>
      <c r="DX121"/>
      <c r="DY121"/>
      <c r="DZ121"/>
      <c r="EA121"/>
      <c r="EB121"/>
      <c r="EC121"/>
      <c r="ED121"/>
      <c r="EE121"/>
      <c r="EF121"/>
      <c r="EG121"/>
      <c r="EH121"/>
      <c r="EI121"/>
      <c r="EJ121"/>
      <c r="EK121"/>
      <c r="EL121"/>
      <c r="EM121"/>
      <c r="EN121"/>
      <c r="EO121"/>
      <c r="EP121"/>
      <c r="EQ121"/>
      <c r="ER121">
        <v>63</v>
      </c>
      <c r="ES121"/>
      <c r="ET121"/>
      <c r="EU121"/>
      <c r="EV121" s="439">
        <v>1065</v>
      </c>
      <c r="EW121" t="s">
        <v>2844</v>
      </c>
      <c r="EX121" t="s">
        <v>1110</v>
      </c>
      <c r="EY121" t="s">
        <v>2845</v>
      </c>
      <c r="EZ121" t="s">
        <v>54</v>
      </c>
      <c r="FA121">
        <v>55433</v>
      </c>
      <c r="FB121"/>
    </row>
    <row r="122" spans="1:158" x14ac:dyDescent="0.2">
      <c r="A122" s="439">
        <v>663</v>
      </c>
      <c r="B122" t="s">
        <v>1512</v>
      </c>
      <c r="C122" t="s">
        <v>1490</v>
      </c>
      <c r="D122" t="s">
        <v>1491</v>
      </c>
      <c r="E122" t="s">
        <v>1451</v>
      </c>
      <c r="F122" t="s">
        <v>1453</v>
      </c>
      <c r="G122" t="s">
        <v>992</v>
      </c>
      <c r="H122" s="576">
        <v>58078</v>
      </c>
      <c r="I122"/>
      <c r="J122" t="s">
        <v>1491</v>
      </c>
      <c r="K122" t="s">
        <v>1451</v>
      </c>
      <c r="L122" t="s">
        <v>1452</v>
      </c>
      <c r="M122" t="s">
        <v>1453</v>
      </c>
      <c r="N122" t="s">
        <v>992</v>
      </c>
      <c r="O122" s="576">
        <v>58078</v>
      </c>
      <c r="P122"/>
      <c r="Q122">
        <v>7012379073</v>
      </c>
      <c r="R122">
        <v>7012351582</v>
      </c>
      <c r="S122" t="s">
        <v>749</v>
      </c>
      <c r="T122" t="s">
        <v>749</v>
      </c>
      <c r="U122" t="s">
        <v>749</v>
      </c>
      <c r="V122" t="s">
        <v>1492</v>
      </c>
      <c r="W122" t="s">
        <v>1493</v>
      </c>
      <c r="X122" t="s">
        <v>1494</v>
      </c>
      <c r="Y122" t="s">
        <v>1495</v>
      </c>
      <c r="Z122" t="s">
        <v>1456</v>
      </c>
      <c r="AA122" t="s">
        <v>1496</v>
      </c>
      <c r="AB122">
        <v>7012973028</v>
      </c>
      <c r="AC122">
        <v>7012379073</v>
      </c>
      <c r="AD122">
        <v>7012351582</v>
      </c>
      <c r="AE122" t="s">
        <v>1492</v>
      </c>
      <c r="AF122" t="s">
        <v>1491</v>
      </c>
      <c r="AG122" t="s">
        <v>1451</v>
      </c>
      <c r="AH122" t="s">
        <v>1452</v>
      </c>
      <c r="AI122" t="s">
        <v>1453</v>
      </c>
      <c r="AJ122" t="s">
        <v>992</v>
      </c>
      <c r="AK122" s="576">
        <v>58078</v>
      </c>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t="s">
        <v>1494</v>
      </c>
      <c r="BR122" t="s">
        <v>1495</v>
      </c>
      <c r="BS122" t="s">
        <v>1456</v>
      </c>
      <c r="BT122" t="s">
        <v>1496</v>
      </c>
      <c r="BU122">
        <v>7012973028</v>
      </c>
      <c r="BV122">
        <v>7012379073</v>
      </c>
      <c r="BW122">
        <v>7012351582</v>
      </c>
      <c r="BX122" t="s">
        <v>1492</v>
      </c>
      <c r="BY122" t="s">
        <v>1491</v>
      </c>
      <c r="BZ122" t="s">
        <v>1451</v>
      </c>
      <c r="CA122" t="s">
        <v>1452</v>
      </c>
      <c r="CB122" t="s">
        <v>1453</v>
      </c>
      <c r="CC122" t="s">
        <v>992</v>
      </c>
      <c r="CD122" s="576">
        <v>58078</v>
      </c>
      <c r="CE122"/>
      <c r="CF122" t="s">
        <v>1497</v>
      </c>
      <c r="CG122" t="s">
        <v>1496</v>
      </c>
      <c r="CH122" t="s">
        <v>141</v>
      </c>
      <c r="CI122"/>
      <c r="CJ122"/>
      <c r="CK122"/>
      <c r="CL122"/>
      <c r="CM122">
        <v>1972553758</v>
      </c>
      <c r="CN122">
        <v>244</v>
      </c>
      <c r="CO122">
        <v>143</v>
      </c>
      <c r="CP122"/>
      <c r="CQ122"/>
      <c r="CR122">
        <v>143</v>
      </c>
      <c r="CS122" t="s">
        <v>788</v>
      </c>
      <c r="CT122">
        <v>12</v>
      </c>
      <c r="CU122"/>
      <c r="CV122"/>
      <c r="CW122"/>
      <c r="CX122"/>
      <c r="CY122"/>
      <c r="CZ122"/>
      <c r="DA122"/>
      <c r="DB122"/>
      <c r="DC122"/>
      <c r="DD122"/>
      <c r="DE122"/>
      <c r="DF122"/>
      <c r="DG122"/>
      <c r="DH122"/>
      <c r="DI122"/>
      <c r="DJ122"/>
      <c r="DK122"/>
      <c r="DL122"/>
      <c r="DM122"/>
      <c r="DN122"/>
      <c r="DO122"/>
      <c r="DP122"/>
      <c r="DQ122"/>
      <c r="DR122"/>
      <c r="DS122"/>
      <c r="DT122"/>
      <c r="DU122"/>
      <c r="DV122"/>
      <c r="DW122"/>
      <c r="DX122"/>
      <c r="DY122"/>
      <c r="DZ122"/>
      <c r="EA122"/>
      <c r="EB122"/>
      <c r="EC122"/>
      <c r="ED122"/>
      <c r="EE122"/>
      <c r="EF122"/>
      <c r="EG122"/>
      <c r="EH122"/>
      <c r="EI122"/>
      <c r="EJ122"/>
      <c r="EK122"/>
      <c r="EL122"/>
      <c r="EM122"/>
      <c r="EN122"/>
      <c r="EO122"/>
      <c r="EP122"/>
      <c r="EQ122"/>
      <c r="ER122">
        <v>63</v>
      </c>
      <c r="ES122"/>
      <c r="ET122"/>
      <c r="EU122"/>
      <c r="EV122" s="439">
        <v>1164</v>
      </c>
      <c r="EW122" t="s">
        <v>2846</v>
      </c>
      <c r="EX122" t="s">
        <v>1110</v>
      </c>
      <c r="EY122" t="s">
        <v>2847</v>
      </c>
      <c r="EZ122" t="s">
        <v>54</v>
      </c>
      <c r="FA122">
        <v>55433</v>
      </c>
      <c r="FB122">
        <v>1992739247</v>
      </c>
    </row>
    <row r="123" spans="1:158" x14ac:dyDescent="0.2">
      <c r="A123" s="439">
        <v>811</v>
      </c>
      <c r="B123" t="s">
        <v>1513</v>
      </c>
      <c r="C123" t="s">
        <v>1490</v>
      </c>
      <c r="D123" t="s">
        <v>1491</v>
      </c>
      <c r="E123" t="s">
        <v>1451</v>
      </c>
      <c r="F123" t="s">
        <v>1453</v>
      </c>
      <c r="G123" t="s">
        <v>992</v>
      </c>
      <c r="H123" s="576">
        <v>58078</v>
      </c>
      <c r="I123"/>
      <c r="J123" t="s">
        <v>1491</v>
      </c>
      <c r="K123" t="s">
        <v>1451</v>
      </c>
      <c r="L123" t="s">
        <v>1452</v>
      </c>
      <c r="M123" t="s">
        <v>1453</v>
      </c>
      <c r="N123" t="s">
        <v>992</v>
      </c>
      <c r="O123" s="576">
        <v>58078</v>
      </c>
      <c r="P123"/>
      <c r="Q123">
        <v>7012379073</v>
      </c>
      <c r="R123">
        <v>7012351582</v>
      </c>
      <c r="S123" t="s">
        <v>749</v>
      </c>
      <c r="T123" t="s">
        <v>749</v>
      </c>
      <c r="U123" t="s">
        <v>749</v>
      </c>
      <c r="V123" t="s">
        <v>1492</v>
      </c>
      <c r="W123" t="s">
        <v>1493</v>
      </c>
      <c r="X123" t="s">
        <v>1494</v>
      </c>
      <c r="Y123" t="s">
        <v>1495</v>
      </c>
      <c r="Z123" t="s">
        <v>1456</v>
      </c>
      <c r="AA123" t="s">
        <v>1496</v>
      </c>
      <c r="AB123">
        <v>7012973028</v>
      </c>
      <c r="AC123">
        <v>7012379073</v>
      </c>
      <c r="AD123">
        <v>7012351582</v>
      </c>
      <c r="AE123" t="s">
        <v>1492</v>
      </c>
      <c r="AF123" t="s">
        <v>1491</v>
      </c>
      <c r="AG123" t="s">
        <v>1451</v>
      </c>
      <c r="AH123" t="s">
        <v>1452</v>
      </c>
      <c r="AI123" t="s">
        <v>1453</v>
      </c>
      <c r="AJ123" t="s">
        <v>992</v>
      </c>
      <c r="AK123" s="576">
        <v>58078</v>
      </c>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t="s">
        <v>1494</v>
      </c>
      <c r="BR123" t="s">
        <v>1495</v>
      </c>
      <c r="BS123" t="s">
        <v>1456</v>
      </c>
      <c r="BT123" t="s">
        <v>1496</v>
      </c>
      <c r="BU123">
        <v>7012973028</v>
      </c>
      <c r="BV123">
        <v>7012379073</v>
      </c>
      <c r="BW123">
        <v>7012351582</v>
      </c>
      <c r="BX123" t="s">
        <v>1492</v>
      </c>
      <c r="BY123" t="s">
        <v>1491</v>
      </c>
      <c r="BZ123" t="s">
        <v>1451</v>
      </c>
      <c r="CA123" t="s">
        <v>1452</v>
      </c>
      <c r="CB123" t="s">
        <v>1453</v>
      </c>
      <c r="CC123" t="s">
        <v>992</v>
      </c>
      <c r="CD123" s="576">
        <v>58078</v>
      </c>
      <c r="CE123"/>
      <c r="CF123" t="s">
        <v>1497</v>
      </c>
      <c r="CG123" t="s">
        <v>1496</v>
      </c>
      <c r="CH123" t="s">
        <v>141</v>
      </c>
      <c r="CI123"/>
      <c r="CJ123"/>
      <c r="CK123"/>
      <c r="CL123"/>
      <c r="CM123">
        <v>1972553758</v>
      </c>
      <c r="CN123">
        <v>244</v>
      </c>
      <c r="CO123">
        <v>143</v>
      </c>
      <c r="CP123"/>
      <c r="CQ123"/>
      <c r="CR123">
        <v>143</v>
      </c>
      <c r="CS123" t="s">
        <v>788</v>
      </c>
      <c r="CT123">
        <v>12</v>
      </c>
      <c r="CU123"/>
      <c r="CV123"/>
      <c r="CW123"/>
      <c r="CX123"/>
      <c r="CY123"/>
      <c r="CZ123"/>
      <c r="DA123"/>
      <c r="DB123"/>
      <c r="DC123"/>
      <c r="DD123"/>
      <c r="DE123"/>
      <c r="DF123"/>
      <c r="DG123"/>
      <c r="DH123"/>
      <c r="DI123"/>
      <c r="DJ123"/>
      <c r="DK123"/>
      <c r="DL123"/>
      <c r="DM123"/>
      <c r="DN123"/>
      <c r="DO123"/>
      <c r="DP123"/>
      <c r="DQ123"/>
      <c r="DR123"/>
      <c r="DS123"/>
      <c r="DT123"/>
      <c r="DU123"/>
      <c r="DV123"/>
      <c r="DW123"/>
      <c r="DX123"/>
      <c r="DY123"/>
      <c r="DZ123"/>
      <c r="EA123"/>
      <c r="EB123"/>
      <c r="EC123"/>
      <c r="ED123"/>
      <c r="EE123"/>
      <c r="EF123"/>
      <c r="EG123"/>
      <c r="EH123"/>
      <c r="EI123"/>
      <c r="EJ123"/>
      <c r="EK123"/>
      <c r="EL123"/>
      <c r="EM123"/>
      <c r="EN123"/>
      <c r="EO123"/>
      <c r="EP123"/>
      <c r="EQ123"/>
      <c r="ER123">
        <v>63</v>
      </c>
      <c r="ES123"/>
      <c r="ET123"/>
      <c r="EU123"/>
      <c r="EV123" s="439">
        <v>325</v>
      </c>
      <c r="EW123" t="s">
        <v>2848</v>
      </c>
      <c r="EX123" t="s">
        <v>1110</v>
      </c>
      <c r="EY123" t="s">
        <v>2849</v>
      </c>
      <c r="EZ123" t="s">
        <v>54</v>
      </c>
      <c r="FA123">
        <v>55433</v>
      </c>
      <c r="FB123">
        <v>1669496345</v>
      </c>
    </row>
    <row r="124" spans="1:158" x14ac:dyDescent="0.2">
      <c r="A124" s="439">
        <v>969</v>
      </c>
      <c r="B124" t="s">
        <v>1514</v>
      </c>
      <c r="C124" t="s">
        <v>1490</v>
      </c>
      <c r="D124" t="s">
        <v>1491</v>
      </c>
      <c r="E124" t="s">
        <v>1451</v>
      </c>
      <c r="F124" t="s">
        <v>1453</v>
      </c>
      <c r="G124" t="s">
        <v>992</v>
      </c>
      <c r="H124" s="576">
        <v>58078</v>
      </c>
      <c r="I124"/>
      <c r="J124" t="s">
        <v>1491</v>
      </c>
      <c r="K124" t="s">
        <v>1451</v>
      </c>
      <c r="L124" t="s">
        <v>1452</v>
      </c>
      <c r="M124" t="s">
        <v>1453</v>
      </c>
      <c r="N124" t="s">
        <v>992</v>
      </c>
      <c r="O124" s="576">
        <v>58078</v>
      </c>
      <c r="P124"/>
      <c r="Q124">
        <v>7012379073</v>
      </c>
      <c r="R124">
        <v>7012351582</v>
      </c>
      <c r="S124" t="s">
        <v>749</v>
      </c>
      <c r="T124" t="s">
        <v>749</v>
      </c>
      <c r="U124" t="s">
        <v>749</v>
      </c>
      <c r="V124" t="s">
        <v>1492</v>
      </c>
      <c r="W124" t="s">
        <v>1493</v>
      </c>
      <c r="X124" t="s">
        <v>1494</v>
      </c>
      <c r="Y124" t="s">
        <v>1495</v>
      </c>
      <c r="Z124" t="s">
        <v>1456</v>
      </c>
      <c r="AA124" t="s">
        <v>1496</v>
      </c>
      <c r="AB124">
        <v>7012973028</v>
      </c>
      <c r="AC124">
        <v>7012379073</v>
      </c>
      <c r="AD124">
        <v>7012351582</v>
      </c>
      <c r="AE124" t="s">
        <v>1492</v>
      </c>
      <c r="AF124" t="s">
        <v>1491</v>
      </c>
      <c r="AG124" t="s">
        <v>1451</v>
      </c>
      <c r="AH124" t="s">
        <v>1452</v>
      </c>
      <c r="AI124" t="s">
        <v>1453</v>
      </c>
      <c r="AJ124" t="s">
        <v>992</v>
      </c>
      <c r="AK124" s="576">
        <v>58078</v>
      </c>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t="s">
        <v>1494</v>
      </c>
      <c r="BR124" t="s">
        <v>1495</v>
      </c>
      <c r="BS124" t="s">
        <v>1456</v>
      </c>
      <c r="BT124" t="s">
        <v>1496</v>
      </c>
      <c r="BU124">
        <v>7012973028</v>
      </c>
      <c r="BV124">
        <v>7012379073</v>
      </c>
      <c r="BW124">
        <v>7012351582</v>
      </c>
      <c r="BX124" t="s">
        <v>1492</v>
      </c>
      <c r="BY124" t="s">
        <v>1491</v>
      </c>
      <c r="BZ124" t="s">
        <v>1451</v>
      </c>
      <c r="CA124" t="s">
        <v>1452</v>
      </c>
      <c r="CB124" t="s">
        <v>1453</v>
      </c>
      <c r="CC124" t="s">
        <v>992</v>
      </c>
      <c r="CD124" s="576">
        <v>58078</v>
      </c>
      <c r="CE124"/>
      <c r="CF124" t="s">
        <v>1497</v>
      </c>
      <c r="CG124" t="s">
        <v>1496</v>
      </c>
      <c r="CH124" t="s">
        <v>141</v>
      </c>
      <c r="CI124"/>
      <c r="CJ124"/>
      <c r="CK124"/>
      <c r="CL124"/>
      <c r="CM124">
        <v>1972553758</v>
      </c>
      <c r="CN124">
        <v>244</v>
      </c>
      <c r="CO124">
        <v>143</v>
      </c>
      <c r="CP124"/>
      <c r="CQ124"/>
      <c r="CR124">
        <v>143</v>
      </c>
      <c r="CS124" t="s">
        <v>788</v>
      </c>
      <c r="CT124">
        <v>12</v>
      </c>
      <c r="CU124"/>
      <c r="CV124"/>
      <c r="CW124"/>
      <c r="CX124"/>
      <c r="CY124"/>
      <c r="CZ124"/>
      <c r="DA124"/>
      <c r="DB124"/>
      <c r="DC124"/>
      <c r="DD124"/>
      <c r="DE124"/>
      <c r="DF124"/>
      <c r="DG124"/>
      <c r="DH124"/>
      <c r="DI124"/>
      <c r="DJ124"/>
      <c r="DK124"/>
      <c r="DL124"/>
      <c r="DM124"/>
      <c r="DN124"/>
      <c r="DO124"/>
      <c r="DP124"/>
      <c r="DQ124"/>
      <c r="DR124"/>
      <c r="DS124"/>
      <c r="DT124"/>
      <c r="DU124"/>
      <c r="DV124"/>
      <c r="DW124"/>
      <c r="DX124"/>
      <c r="DY124"/>
      <c r="DZ124"/>
      <c r="EA124"/>
      <c r="EB124"/>
      <c r="EC124"/>
      <c r="ED124"/>
      <c r="EE124"/>
      <c r="EF124"/>
      <c r="EG124"/>
      <c r="EH124"/>
      <c r="EI124"/>
      <c r="EJ124"/>
      <c r="EK124"/>
      <c r="EL124"/>
      <c r="EM124"/>
      <c r="EN124"/>
      <c r="EO124"/>
      <c r="EP124"/>
      <c r="EQ124"/>
      <c r="ER124">
        <v>63</v>
      </c>
      <c r="ES124"/>
      <c r="ET124"/>
      <c r="EU124"/>
      <c r="EV124" s="439">
        <v>520</v>
      </c>
      <c r="EW124" t="s">
        <v>2498</v>
      </c>
      <c r="EX124" t="s">
        <v>1110</v>
      </c>
      <c r="EY124" t="s">
        <v>2499</v>
      </c>
      <c r="EZ124" t="s">
        <v>54</v>
      </c>
      <c r="FA124">
        <v>55433</v>
      </c>
      <c r="FB124">
        <v>1427008937</v>
      </c>
    </row>
    <row r="125" spans="1:158" x14ac:dyDescent="0.2">
      <c r="A125" s="439">
        <v>1446</v>
      </c>
      <c r="B125" t="s">
        <v>1515</v>
      </c>
      <c r="C125" t="s">
        <v>1490</v>
      </c>
      <c r="D125" t="s">
        <v>1491</v>
      </c>
      <c r="E125" t="s">
        <v>1451</v>
      </c>
      <c r="F125" t="s">
        <v>1453</v>
      </c>
      <c r="G125" t="s">
        <v>992</v>
      </c>
      <c r="H125" s="576">
        <v>58078</v>
      </c>
      <c r="I125"/>
      <c r="J125" t="s">
        <v>1491</v>
      </c>
      <c r="K125" t="s">
        <v>1451</v>
      </c>
      <c r="L125" t="s">
        <v>1452</v>
      </c>
      <c r="M125" t="s">
        <v>1453</v>
      </c>
      <c r="N125" t="s">
        <v>992</v>
      </c>
      <c r="O125" s="576">
        <v>58078</v>
      </c>
      <c r="P125"/>
      <c r="Q125">
        <v>7012379073</v>
      </c>
      <c r="R125">
        <v>7012351582</v>
      </c>
      <c r="S125" t="s">
        <v>749</v>
      </c>
      <c r="T125" t="s">
        <v>749</v>
      </c>
      <c r="U125" t="s">
        <v>749</v>
      </c>
      <c r="V125" t="s">
        <v>1492</v>
      </c>
      <c r="W125" t="s">
        <v>1493</v>
      </c>
      <c r="X125" t="s">
        <v>1494</v>
      </c>
      <c r="Y125" t="s">
        <v>1495</v>
      </c>
      <c r="Z125" t="s">
        <v>1456</v>
      </c>
      <c r="AA125" t="s">
        <v>1496</v>
      </c>
      <c r="AB125">
        <v>7012973028</v>
      </c>
      <c r="AC125">
        <v>7012379073</v>
      </c>
      <c r="AD125">
        <v>7012351582</v>
      </c>
      <c r="AE125" t="s">
        <v>1492</v>
      </c>
      <c r="AF125" t="s">
        <v>1491</v>
      </c>
      <c r="AG125" t="s">
        <v>1451</v>
      </c>
      <c r="AH125" t="s">
        <v>1452</v>
      </c>
      <c r="AI125" t="s">
        <v>1453</v>
      </c>
      <c r="AJ125" t="s">
        <v>992</v>
      </c>
      <c r="AK125" s="576">
        <v>58078</v>
      </c>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t="s">
        <v>1494</v>
      </c>
      <c r="BR125" t="s">
        <v>1495</v>
      </c>
      <c r="BS125" t="s">
        <v>1456</v>
      </c>
      <c r="BT125" t="s">
        <v>1496</v>
      </c>
      <c r="BU125">
        <v>7012973028</v>
      </c>
      <c r="BV125">
        <v>7012379073</v>
      </c>
      <c r="BW125">
        <v>7012351582</v>
      </c>
      <c r="BX125" t="s">
        <v>1492</v>
      </c>
      <c r="BY125" t="s">
        <v>1491</v>
      </c>
      <c r="BZ125" t="s">
        <v>1451</v>
      </c>
      <c r="CA125" t="s">
        <v>1452</v>
      </c>
      <c r="CB125" t="s">
        <v>1453</v>
      </c>
      <c r="CC125" t="s">
        <v>992</v>
      </c>
      <c r="CD125" s="576">
        <v>58078</v>
      </c>
      <c r="CE125"/>
      <c r="CF125" t="s">
        <v>1497</v>
      </c>
      <c r="CG125" t="s">
        <v>1496</v>
      </c>
      <c r="CH125" t="s">
        <v>141</v>
      </c>
      <c r="CI125"/>
      <c r="CJ125"/>
      <c r="CK125"/>
      <c r="CL125"/>
      <c r="CM125">
        <v>1972553758</v>
      </c>
      <c r="CN125">
        <v>244</v>
      </c>
      <c r="CO125">
        <v>143</v>
      </c>
      <c r="CP125"/>
      <c r="CQ125"/>
      <c r="CR125">
        <v>143</v>
      </c>
      <c r="CS125" t="s">
        <v>788</v>
      </c>
      <c r="CT125">
        <v>12</v>
      </c>
      <c r="CU125"/>
      <c r="CV125"/>
      <c r="CW125"/>
      <c r="CX125"/>
      <c r="CY125"/>
      <c r="CZ125"/>
      <c r="DA125"/>
      <c r="DB125"/>
      <c r="DC125"/>
      <c r="DD125"/>
      <c r="DE125"/>
      <c r="DF125"/>
      <c r="DG125"/>
      <c r="DH125"/>
      <c r="DI125"/>
      <c r="DJ125"/>
      <c r="DK125"/>
      <c r="DL125"/>
      <c r="DM125"/>
      <c r="DN125"/>
      <c r="DO125"/>
      <c r="DP125"/>
      <c r="DQ125"/>
      <c r="DR125"/>
      <c r="DS125"/>
      <c r="DT125"/>
      <c r="DU125"/>
      <c r="DV125"/>
      <c r="DW125"/>
      <c r="DX125"/>
      <c r="DY125"/>
      <c r="DZ125"/>
      <c r="EA125"/>
      <c r="EB125"/>
      <c r="EC125"/>
      <c r="ED125"/>
      <c r="EE125"/>
      <c r="EF125"/>
      <c r="EG125"/>
      <c r="EH125"/>
      <c r="EI125"/>
      <c r="EJ125"/>
      <c r="EK125"/>
      <c r="EL125"/>
      <c r="EM125"/>
      <c r="EN125"/>
      <c r="EO125"/>
      <c r="EP125"/>
      <c r="EQ125"/>
      <c r="ER125">
        <v>63</v>
      </c>
      <c r="ES125"/>
      <c r="ET125"/>
      <c r="EU125"/>
      <c r="EV125" s="439">
        <v>1032</v>
      </c>
      <c r="EW125" t="s">
        <v>2502</v>
      </c>
      <c r="EX125" t="s">
        <v>1110</v>
      </c>
      <c r="EY125" t="s">
        <v>2503</v>
      </c>
      <c r="EZ125" t="s">
        <v>54</v>
      </c>
      <c r="FA125">
        <v>55433</v>
      </c>
      <c r="FB125">
        <v>1427008937</v>
      </c>
    </row>
    <row r="126" spans="1:158" x14ac:dyDescent="0.2">
      <c r="A126" s="439">
        <v>1001</v>
      </c>
      <c r="B126" t="s">
        <v>1516</v>
      </c>
      <c r="C126" t="s">
        <v>1490</v>
      </c>
      <c r="D126" t="s">
        <v>1491</v>
      </c>
      <c r="E126" t="s">
        <v>1451</v>
      </c>
      <c r="F126" t="s">
        <v>1453</v>
      </c>
      <c r="G126" t="s">
        <v>992</v>
      </c>
      <c r="H126" s="576">
        <v>58078</v>
      </c>
      <c r="I126"/>
      <c r="J126" t="s">
        <v>1491</v>
      </c>
      <c r="K126" t="s">
        <v>1451</v>
      </c>
      <c r="L126" t="s">
        <v>1452</v>
      </c>
      <c r="M126" t="s">
        <v>1453</v>
      </c>
      <c r="N126" t="s">
        <v>992</v>
      </c>
      <c r="O126" s="576">
        <v>58078</v>
      </c>
      <c r="P126"/>
      <c r="Q126">
        <v>7012379073</v>
      </c>
      <c r="R126">
        <v>7012973077</v>
      </c>
      <c r="S126" t="s">
        <v>749</v>
      </c>
      <c r="T126" t="s">
        <v>749</v>
      </c>
      <c r="U126" t="s">
        <v>749</v>
      </c>
      <c r="V126" t="s">
        <v>1492</v>
      </c>
      <c r="W126" t="s">
        <v>1493</v>
      </c>
      <c r="X126" t="s">
        <v>1494</v>
      </c>
      <c r="Y126" t="s">
        <v>1495</v>
      </c>
      <c r="Z126" t="s">
        <v>1456</v>
      </c>
      <c r="AA126" t="s">
        <v>1496</v>
      </c>
      <c r="AB126">
        <v>7012973028</v>
      </c>
      <c r="AC126">
        <v>7012379073</v>
      </c>
      <c r="AD126">
        <v>7012351582</v>
      </c>
      <c r="AE126" t="s">
        <v>1492</v>
      </c>
      <c r="AF126" t="s">
        <v>1491</v>
      </c>
      <c r="AG126" t="s">
        <v>1451</v>
      </c>
      <c r="AH126" t="s">
        <v>1452</v>
      </c>
      <c r="AI126" t="s">
        <v>1453</v>
      </c>
      <c r="AJ126" t="s">
        <v>992</v>
      </c>
      <c r="AK126" s="576">
        <v>58078</v>
      </c>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t="s">
        <v>1494</v>
      </c>
      <c r="BR126" t="s">
        <v>1495</v>
      </c>
      <c r="BS126" t="s">
        <v>1456</v>
      </c>
      <c r="BT126" t="s">
        <v>1496</v>
      </c>
      <c r="BU126">
        <v>7012973028</v>
      </c>
      <c r="BV126">
        <v>7012379073</v>
      </c>
      <c r="BW126">
        <v>7012351582</v>
      </c>
      <c r="BX126" t="s">
        <v>1492</v>
      </c>
      <c r="BY126" t="s">
        <v>1491</v>
      </c>
      <c r="BZ126" t="s">
        <v>1451</v>
      </c>
      <c r="CA126" t="s">
        <v>1452</v>
      </c>
      <c r="CB126" t="s">
        <v>1453</v>
      </c>
      <c r="CC126" t="s">
        <v>992</v>
      </c>
      <c r="CD126" s="576">
        <v>58078</v>
      </c>
      <c r="CE126"/>
      <c r="CF126" t="s">
        <v>1497</v>
      </c>
      <c r="CG126" t="s">
        <v>1496</v>
      </c>
      <c r="CH126" t="s">
        <v>141</v>
      </c>
      <c r="CI126"/>
      <c r="CJ126"/>
      <c r="CK126"/>
      <c r="CL126"/>
      <c r="CM126">
        <v>1972553758</v>
      </c>
      <c r="CN126">
        <v>244</v>
      </c>
      <c r="CO126">
        <v>143</v>
      </c>
      <c r="CP126"/>
      <c r="CQ126"/>
      <c r="CR126">
        <v>143</v>
      </c>
      <c r="CS126" t="s">
        <v>788</v>
      </c>
      <c r="CT126">
        <v>12</v>
      </c>
      <c r="CU126"/>
      <c r="CV126"/>
      <c r="CW126"/>
      <c r="CX126"/>
      <c r="CY126"/>
      <c r="CZ126"/>
      <c r="DA126"/>
      <c r="DB126"/>
      <c r="DC126"/>
      <c r="DD126"/>
      <c r="DE126"/>
      <c r="DF126"/>
      <c r="DG126"/>
      <c r="DH126"/>
      <c r="DI126"/>
      <c r="DJ126"/>
      <c r="DK126"/>
      <c r="DL126"/>
      <c r="DM126"/>
      <c r="DN126"/>
      <c r="DO126"/>
      <c r="DP126"/>
      <c r="DQ126"/>
      <c r="DR126"/>
      <c r="DS126"/>
      <c r="DT126"/>
      <c r="DU126"/>
      <c r="DV126"/>
      <c r="DW126"/>
      <c r="DX126"/>
      <c r="DY126"/>
      <c r="DZ126"/>
      <c r="EA126"/>
      <c r="EB126"/>
      <c r="EC126"/>
      <c r="ED126"/>
      <c r="EE126"/>
      <c r="EF126"/>
      <c r="EG126"/>
      <c r="EH126"/>
      <c r="EI126"/>
      <c r="EJ126"/>
      <c r="EK126"/>
      <c r="EL126"/>
      <c r="EM126"/>
      <c r="EN126"/>
      <c r="EO126"/>
      <c r="EP126"/>
      <c r="EQ126"/>
      <c r="ER126">
        <v>63</v>
      </c>
      <c r="ES126"/>
      <c r="ET126"/>
      <c r="EU126"/>
      <c r="EV126" s="439">
        <v>744</v>
      </c>
      <c r="EW126" t="s">
        <v>2611</v>
      </c>
      <c r="EX126" t="s">
        <v>1110</v>
      </c>
      <c r="EY126" t="s">
        <v>2612</v>
      </c>
      <c r="EZ126" t="s">
        <v>54</v>
      </c>
      <c r="FA126">
        <v>55433</v>
      </c>
      <c r="FB126">
        <v>1164474250</v>
      </c>
    </row>
    <row r="127" spans="1:158" x14ac:dyDescent="0.2">
      <c r="A127" s="439">
        <v>984</v>
      </c>
      <c r="B127" t="s">
        <v>1517</v>
      </c>
      <c r="C127" t="s">
        <v>1490</v>
      </c>
      <c r="D127" t="s">
        <v>1491</v>
      </c>
      <c r="E127" t="s">
        <v>1451</v>
      </c>
      <c r="F127" t="s">
        <v>1453</v>
      </c>
      <c r="G127" t="s">
        <v>992</v>
      </c>
      <c r="H127" s="576">
        <v>58078</v>
      </c>
      <c r="I127"/>
      <c r="J127" t="s">
        <v>1491</v>
      </c>
      <c r="K127" t="s">
        <v>1451</v>
      </c>
      <c r="L127" t="s">
        <v>1452</v>
      </c>
      <c r="M127" t="s">
        <v>1453</v>
      </c>
      <c r="N127" t="s">
        <v>992</v>
      </c>
      <c r="O127" s="576">
        <v>58078</v>
      </c>
      <c r="P127"/>
      <c r="Q127">
        <v>7012379073</v>
      </c>
      <c r="R127">
        <v>7012351582</v>
      </c>
      <c r="S127" t="s">
        <v>749</v>
      </c>
      <c r="T127" t="s">
        <v>749</v>
      </c>
      <c r="U127" t="s">
        <v>749</v>
      </c>
      <c r="V127" t="s">
        <v>1492</v>
      </c>
      <c r="W127" t="s">
        <v>1493</v>
      </c>
      <c r="X127" t="s">
        <v>1494</v>
      </c>
      <c r="Y127" t="s">
        <v>1495</v>
      </c>
      <c r="Z127" t="s">
        <v>1456</v>
      </c>
      <c r="AA127" t="s">
        <v>1496</v>
      </c>
      <c r="AB127">
        <v>7012973028</v>
      </c>
      <c r="AC127">
        <v>7012379073</v>
      </c>
      <c r="AD127">
        <v>7012351582</v>
      </c>
      <c r="AE127" t="s">
        <v>1492</v>
      </c>
      <c r="AF127" t="s">
        <v>1491</v>
      </c>
      <c r="AG127" t="s">
        <v>1451</v>
      </c>
      <c r="AH127" t="s">
        <v>1452</v>
      </c>
      <c r="AI127" t="s">
        <v>1453</v>
      </c>
      <c r="AJ127" t="s">
        <v>992</v>
      </c>
      <c r="AK127" s="576">
        <v>58078</v>
      </c>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t="s">
        <v>1494</v>
      </c>
      <c r="BR127" t="s">
        <v>1495</v>
      </c>
      <c r="BS127" t="s">
        <v>1456</v>
      </c>
      <c r="BT127" t="s">
        <v>1496</v>
      </c>
      <c r="BU127">
        <v>7012973028</v>
      </c>
      <c r="BV127">
        <v>7012379073</v>
      </c>
      <c r="BW127">
        <v>7012351582</v>
      </c>
      <c r="BX127" t="s">
        <v>1492</v>
      </c>
      <c r="BY127" t="s">
        <v>1491</v>
      </c>
      <c r="BZ127" t="s">
        <v>1451</v>
      </c>
      <c r="CA127" t="s">
        <v>1452</v>
      </c>
      <c r="CB127" t="s">
        <v>1453</v>
      </c>
      <c r="CC127" t="s">
        <v>992</v>
      </c>
      <c r="CD127" s="576">
        <v>58078</v>
      </c>
      <c r="CE127"/>
      <c r="CF127" t="s">
        <v>1497</v>
      </c>
      <c r="CG127" t="s">
        <v>1496</v>
      </c>
      <c r="CH127" t="s">
        <v>141</v>
      </c>
      <c r="CI127"/>
      <c r="CJ127"/>
      <c r="CK127"/>
      <c r="CL127"/>
      <c r="CM127">
        <v>1972553758</v>
      </c>
      <c r="CN127">
        <v>244</v>
      </c>
      <c r="CO127">
        <v>143</v>
      </c>
      <c r="CP127"/>
      <c r="CQ127"/>
      <c r="CR127">
        <v>143</v>
      </c>
      <c r="CS127" t="s">
        <v>788</v>
      </c>
      <c r="CT127">
        <v>12</v>
      </c>
      <c r="CU127"/>
      <c r="CV127"/>
      <c r="CW127"/>
      <c r="CX127"/>
      <c r="CY127"/>
      <c r="CZ127"/>
      <c r="DA127"/>
      <c r="DB127"/>
      <c r="DC127"/>
      <c r="DD127"/>
      <c r="DE127"/>
      <c r="DF127"/>
      <c r="DG127"/>
      <c r="DH127"/>
      <c r="DI127"/>
      <c r="DJ127"/>
      <c r="DK127"/>
      <c r="DL127"/>
      <c r="DM127"/>
      <c r="DN127"/>
      <c r="DO127"/>
      <c r="DP127"/>
      <c r="DQ127"/>
      <c r="DR127"/>
      <c r="DS127"/>
      <c r="DT127"/>
      <c r="DU127"/>
      <c r="DV127"/>
      <c r="DW127"/>
      <c r="DX127"/>
      <c r="DY127"/>
      <c r="DZ127"/>
      <c r="EA127"/>
      <c r="EB127"/>
      <c r="EC127"/>
      <c r="ED127"/>
      <c r="EE127"/>
      <c r="EF127"/>
      <c r="EG127"/>
      <c r="EH127"/>
      <c r="EI127"/>
      <c r="EJ127"/>
      <c r="EK127"/>
      <c r="EL127"/>
      <c r="EM127"/>
      <c r="EN127"/>
      <c r="EO127"/>
      <c r="EP127"/>
      <c r="EQ127"/>
      <c r="ER127">
        <v>63</v>
      </c>
      <c r="ES127"/>
      <c r="ET127"/>
      <c r="EU127"/>
      <c r="EV127" s="439">
        <v>1685</v>
      </c>
      <c r="EW127" t="s">
        <v>2339</v>
      </c>
      <c r="EX127" t="s">
        <v>2340</v>
      </c>
      <c r="EY127" t="s">
        <v>2341</v>
      </c>
      <c r="EZ127" t="s">
        <v>813</v>
      </c>
      <c r="FA127">
        <v>53527</v>
      </c>
      <c r="FB127">
        <v>1295785079</v>
      </c>
    </row>
    <row r="128" spans="1:158" x14ac:dyDescent="0.2">
      <c r="A128" s="439">
        <v>985</v>
      </c>
      <c r="B128" t="s">
        <v>1518</v>
      </c>
      <c r="C128" t="s">
        <v>1490</v>
      </c>
      <c r="D128" t="s">
        <v>1491</v>
      </c>
      <c r="E128" t="s">
        <v>1451</v>
      </c>
      <c r="F128" t="s">
        <v>1453</v>
      </c>
      <c r="G128" t="s">
        <v>992</v>
      </c>
      <c r="H128" s="576">
        <v>58078</v>
      </c>
      <c r="I128"/>
      <c r="J128" t="s">
        <v>1491</v>
      </c>
      <c r="K128" t="s">
        <v>1451</v>
      </c>
      <c r="L128" t="s">
        <v>1452</v>
      </c>
      <c r="M128" t="s">
        <v>1453</v>
      </c>
      <c r="N128" t="s">
        <v>992</v>
      </c>
      <c r="O128" s="576">
        <v>58078</v>
      </c>
      <c r="P128"/>
      <c r="Q128">
        <v>7012379073</v>
      </c>
      <c r="R128">
        <v>7012351582</v>
      </c>
      <c r="S128" t="s">
        <v>749</v>
      </c>
      <c r="T128" t="s">
        <v>749</v>
      </c>
      <c r="U128" t="s">
        <v>749</v>
      </c>
      <c r="V128" t="s">
        <v>1492</v>
      </c>
      <c r="W128" t="s">
        <v>1493</v>
      </c>
      <c r="X128" t="s">
        <v>1494</v>
      </c>
      <c r="Y128" t="s">
        <v>1495</v>
      </c>
      <c r="Z128" t="s">
        <v>1456</v>
      </c>
      <c r="AA128" t="s">
        <v>1496</v>
      </c>
      <c r="AB128">
        <v>7012973028</v>
      </c>
      <c r="AC128">
        <v>7012379073</v>
      </c>
      <c r="AD128">
        <v>7012351582</v>
      </c>
      <c r="AE128" t="s">
        <v>1492</v>
      </c>
      <c r="AF128" t="s">
        <v>1491</v>
      </c>
      <c r="AG128" t="s">
        <v>1451</v>
      </c>
      <c r="AH128" t="s">
        <v>1452</v>
      </c>
      <c r="AI128" t="s">
        <v>1453</v>
      </c>
      <c r="AJ128" t="s">
        <v>992</v>
      </c>
      <c r="AK128" s="576">
        <v>58078</v>
      </c>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t="s">
        <v>1494</v>
      </c>
      <c r="BR128" t="s">
        <v>1495</v>
      </c>
      <c r="BS128" t="s">
        <v>1456</v>
      </c>
      <c r="BT128" t="s">
        <v>1496</v>
      </c>
      <c r="BU128">
        <v>7012973028</v>
      </c>
      <c r="BV128">
        <v>7012379073</v>
      </c>
      <c r="BW128">
        <v>7012351582</v>
      </c>
      <c r="BX128" t="s">
        <v>1492</v>
      </c>
      <c r="BY128" t="s">
        <v>1491</v>
      </c>
      <c r="BZ128" t="s">
        <v>1451</v>
      </c>
      <c r="CA128" t="s">
        <v>1452</v>
      </c>
      <c r="CB128" t="s">
        <v>1453</v>
      </c>
      <c r="CC128" t="s">
        <v>992</v>
      </c>
      <c r="CD128" s="576">
        <v>58078</v>
      </c>
      <c r="CE128"/>
      <c r="CF128" t="s">
        <v>1497</v>
      </c>
      <c r="CG128" t="s">
        <v>1496</v>
      </c>
      <c r="CH128" t="s">
        <v>141</v>
      </c>
      <c r="CI128"/>
      <c r="CJ128"/>
      <c r="CK128"/>
      <c r="CL128"/>
      <c r="CM128">
        <v>1972553758</v>
      </c>
      <c r="CN128">
        <v>244</v>
      </c>
      <c r="CO128">
        <v>143</v>
      </c>
      <c r="CP128"/>
      <c r="CQ128"/>
      <c r="CR128">
        <v>143</v>
      </c>
      <c r="CS128" t="s">
        <v>788</v>
      </c>
      <c r="CT128">
        <v>12</v>
      </c>
      <c r="CU128"/>
      <c r="CV128"/>
      <c r="CW128"/>
      <c r="CX128"/>
      <c r="CY128"/>
      <c r="CZ128"/>
      <c r="DA128"/>
      <c r="DB128"/>
      <c r="DC128"/>
      <c r="DD128"/>
      <c r="DE128"/>
      <c r="DF128"/>
      <c r="DG128"/>
      <c r="DH128"/>
      <c r="DI128"/>
      <c r="DJ128"/>
      <c r="DK128"/>
      <c r="DL128"/>
      <c r="DM128"/>
      <c r="DN128"/>
      <c r="DO128"/>
      <c r="DP128"/>
      <c r="DQ128"/>
      <c r="DR128"/>
      <c r="DS128"/>
      <c r="DT128"/>
      <c r="DU128"/>
      <c r="DV128"/>
      <c r="DW128"/>
      <c r="DX128"/>
      <c r="DY128"/>
      <c r="DZ128"/>
      <c r="EA128"/>
      <c r="EB128"/>
      <c r="EC128"/>
      <c r="ED128"/>
      <c r="EE128"/>
      <c r="EF128"/>
      <c r="EG128"/>
      <c r="EH128"/>
      <c r="EI128"/>
      <c r="EJ128"/>
      <c r="EK128"/>
      <c r="EL128"/>
      <c r="EM128"/>
      <c r="EN128"/>
      <c r="EO128"/>
      <c r="EP128"/>
      <c r="EQ128"/>
      <c r="ER128">
        <v>63</v>
      </c>
      <c r="ES128"/>
      <c r="ET128"/>
      <c r="EU128"/>
      <c r="EV128" s="439">
        <v>1439</v>
      </c>
      <c r="EW128" t="s">
        <v>2352</v>
      </c>
      <c r="EX128" t="s">
        <v>2340</v>
      </c>
      <c r="EY128" t="s">
        <v>2341</v>
      </c>
      <c r="EZ128" t="s">
        <v>813</v>
      </c>
      <c r="FA128">
        <v>53527</v>
      </c>
      <c r="FB128">
        <v>1295785079</v>
      </c>
    </row>
    <row r="129" spans="1:158" x14ac:dyDescent="0.2">
      <c r="A129" s="439">
        <v>875</v>
      </c>
      <c r="B129" t="s">
        <v>1519</v>
      </c>
      <c r="C129" t="s">
        <v>1490</v>
      </c>
      <c r="D129" t="s">
        <v>1491</v>
      </c>
      <c r="E129" t="s">
        <v>1451</v>
      </c>
      <c r="F129" t="s">
        <v>1453</v>
      </c>
      <c r="G129" t="s">
        <v>992</v>
      </c>
      <c r="H129" s="576">
        <v>58078</v>
      </c>
      <c r="I129"/>
      <c r="J129" t="s">
        <v>1491</v>
      </c>
      <c r="K129" t="s">
        <v>1451</v>
      </c>
      <c r="L129" t="s">
        <v>1452</v>
      </c>
      <c r="M129" t="s">
        <v>1453</v>
      </c>
      <c r="N129" t="s">
        <v>992</v>
      </c>
      <c r="O129" s="576">
        <v>58078</v>
      </c>
      <c r="P129"/>
      <c r="Q129">
        <v>7012379073</v>
      </c>
      <c r="R129">
        <v>7012351582</v>
      </c>
      <c r="S129" t="s">
        <v>749</v>
      </c>
      <c r="T129" t="s">
        <v>749</v>
      </c>
      <c r="U129" t="s">
        <v>749</v>
      </c>
      <c r="V129" t="s">
        <v>1492</v>
      </c>
      <c r="W129" t="s">
        <v>1493</v>
      </c>
      <c r="X129" t="s">
        <v>1494</v>
      </c>
      <c r="Y129" t="s">
        <v>1495</v>
      </c>
      <c r="Z129" t="s">
        <v>1456</v>
      </c>
      <c r="AA129" t="s">
        <v>1496</v>
      </c>
      <c r="AB129">
        <v>7012973028</v>
      </c>
      <c r="AC129">
        <v>7012379073</v>
      </c>
      <c r="AD129">
        <v>7012351582</v>
      </c>
      <c r="AE129" t="s">
        <v>1492</v>
      </c>
      <c r="AF129" t="s">
        <v>1491</v>
      </c>
      <c r="AG129" t="s">
        <v>1451</v>
      </c>
      <c r="AH129" t="s">
        <v>1452</v>
      </c>
      <c r="AI129" t="s">
        <v>1453</v>
      </c>
      <c r="AJ129" t="s">
        <v>992</v>
      </c>
      <c r="AK129" s="576">
        <v>58078</v>
      </c>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t="s">
        <v>1494</v>
      </c>
      <c r="BR129" t="s">
        <v>1495</v>
      </c>
      <c r="BS129" t="s">
        <v>1456</v>
      </c>
      <c r="BT129" t="s">
        <v>1496</v>
      </c>
      <c r="BU129">
        <v>7012973028</v>
      </c>
      <c r="BV129">
        <v>7012379073</v>
      </c>
      <c r="BW129">
        <v>7012351582</v>
      </c>
      <c r="BX129" t="s">
        <v>1492</v>
      </c>
      <c r="BY129" t="s">
        <v>1491</v>
      </c>
      <c r="BZ129" t="s">
        <v>1451</v>
      </c>
      <c r="CA129" t="s">
        <v>1452</v>
      </c>
      <c r="CB129" t="s">
        <v>1453</v>
      </c>
      <c r="CC129" t="s">
        <v>992</v>
      </c>
      <c r="CD129" s="576">
        <v>58078</v>
      </c>
      <c r="CE129"/>
      <c r="CF129" t="s">
        <v>1497</v>
      </c>
      <c r="CG129" t="s">
        <v>1496</v>
      </c>
      <c r="CH129" t="s">
        <v>141</v>
      </c>
      <c r="CI129"/>
      <c r="CJ129"/>
      <c r="CK129"/>
      <c r="CL129"/>
      <c r="CM129">
        <v>1972553758</v>
      </c>
      <c r="CN129">
        <v>244</v>
      </c>
      <c r="CO129">
        <v>143</v>
      </c>
      <c r="CP129"/>
      <c r="CQ129"/>
      <c r="CR129">
        <v>143</v>
      </c>
      <c r="CS129" t="s">
        <v>788</v>
      </c>
      <c r="CT129">
        <v>12</v>
      </c>
      <c r="CU129"/>
      <c r="CV129"/>
      <c r="CW129"/>
      <c r="CX129"/>
      <c r="CY129"/>
      <c r="CZ129"/>
      <c r="DA129"/>
      <c r="DB129"/>
      <c r="DC129"/>
      <c r="DD129"/>
      <c r="DE129"/>
      <c r="DF129"/>
      <c r="DG129"/>
      <c r="DH129"/>
      <c r="DI129"/>
      <c r="DJ129"/>
      <c r="DK129"/>
      <c r="DL129"/>
      <c r="DM129"/>
      <c r="DN129"/>
      <c r="DO129"/>
      <c r="DP129"/>
      <c r="DQ129"/>
      <c r="DR129"/>
      <c r="DS129"/>
      <c r="DT129"/>
      <c r="DU129"/>
      <c r="DV129"/>
      <c r="DW129"/>
      <c r="DX129"/>
      <c r="DY129"/>
      <c r="DZ129"/>
      <c r="EA129"/>
      <c r="EB129"/>
      <c r="EC129"/>
      <c r="ED129"/>
      <c r="EE129"/>
      <c r="EF129"/>
      <c r="EG129"/>
      <c r="EH129"/>
      <c r="EI129"/>
      <c r="EJ129"/>
      <c r="EK129"/>
      <c r="EL129"/>
      <c r="EM129"/>
      <c r="EN129"/>
      <c r="EO129"/>
      <c r="EP129"/>
      <c r="EQ129"/>
      <c r="ER129">
        <v>63</v>
      </c>
      <c r="ES129"/>
      <c r="ET129"/>
      <c r="EU129"/>
      <c r="EV129" s="439">
        <v>1772</v>
      </c>
      <c r="EW129" t="s">
        <v>2353</v>
      </c>
      <c r="EX129" t="s">
        <v>2340</v>
      </c>
      <c r="EY129" t="s">
        <v>2341</v>
      </c>
      <c r="EZ129" t="s">
        <v>813</v>
      </c>
      <c r="FA129">
        <v>53527</v>
      </c>
      <c r="FB129">
        <v>1295785079</v>
      </c>
    </row>
    <row r="130" spans="1:158" x14ac:dyDescent="0.2">
      <c r="A130" s="439">
        <v>1269</v>
      </c>
      <c r="B130" t="s">
        <v>1520</v>
      </c>
      <c r="C130" t="s">
        <v>1490</v>
      </c>
      <c r="D130" t="s">
        <v>1491</v>
      </c>
      <c r="E130" t="s">
        <v>1451</v>
      </c>
      <c r="F130" t="s">
        <v>1453</v>
      </c>
      <c r="G130" t="s">
        <v>992</v>
      </c>
      <c r="H130" s="576">
        <v>58078</v>
      </c>
      <c r="I130"/>
      <c r="J130" t="s">
        <v>1491</v>
      </c>
      <c r="K130" t="s">
        <v>1451</v>
      </c>
      <c r="L130" t="s">
        <v>1452</v>
      </c>
      <c r="M130" t="s">
        <v>1453</v>
      </c>
      <c r="N130" t="s">
        <v>992</v>
      </c>
      <c r="O130" s="576">
        <v>58078</v>
      </c>
      <c r="P130"/>
      <c r="Q130">
        <v>7012379073</v>
      </c>
      <c r="R130">
        <v>7012351582</v>
      </c>
      <c r="S130" t="s">
        <v>749</v>
      </c>
      <c r="T130" t="s">
        <v>749</v>
      </c>
      <c r="U130" t="s">
        <v>749</v>
      </c>
      <c r="V130" t="s">
        <v>1492</v>
      </c>
      <c r="W130" t="s">
        <v>1493</v>
      </c>
      <c r="X130" t="s">
        <v>1494</v>
      </c>
      <c r="Y130" t="s">
        <v>1495</v>
      </c>
      <c r="Z130" t="s">
        <v>1456</v>
      </c>
      <c r="AA130" t="s">
        <v>1496</v>
      </c>
      <c r="AB130">
        <v>7012973028</v>
      </c>
      <c r="AC130">
        <v>7012379073</v>
      </c>
      <c r="AD130">
        <v>7012351582</v>
      </c>
      <c r="AE130" t="s">
        <v>1492</v>
      </c>
      <c r="AF130" t="s">
        <v>1491</v>
      </c>
      <c r="AG130" t="s">
        <v>1451</v>
      </c>
      <c r="AH130" t="s">
        <v>1452</v>
      </c>
      <c r="AI130" t="s">
        <v>1453</v>
      </c>
      <c r="AJ130" t="s">
        <v>992</v>
      </c>
      <c r="AK130" s="576">
        <v>58078</v>
      </c>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t="s">
        <v>1494</v>
      </c>
      <c r="BR130" t="s">
        <v>1495</v>
      </c>
      <c r="BS130" t="s">
        <v>1456</v>
      </c>
      <c r="BT130" t="s">
        <v>1496</v>
      </c>
      <c r="BU130">
        <v>7012973028</v>
      </c>
      <c r="BV130">
        <v>7012379073</v>
      </c>
      <c r="BW130">
        <v>7012351582</v>
      </c>
      <c r="BX130" t="s">
        <v>1492</v>
      </c>
      <c r="BY130" t="s">
        <v>1491</v>
      </c>
      <c r="BZ130" t="s">
        <v>1451</v>
      </c>
      <c r="CA130" t="s">
        <v>1452</v>
      </c>
      <c r="CB130" t="s">
        <v>1453</v>
      </c>
      <c r="CC130" t="s">
        <v>992</v>
      </c>
      <c r="CD130" s="576">
        <v>58078</v>
      </c>
      <c r="CE130"/>
      <c r="CF130" t="s">
        <v>1497</v>
      </c>
      <c r="CG130" t="s">
        <v>1496</v>
      </c>
      <c r="CH130" t="s">
        <v>141</v>
      </c>
      <c r="CI130"/>
      <c r="CJ130"/>
      <c r="CK130"/>
      <c r="CL130"/>
      <c r="CM130">
        <v>1972553758</v>
      </c>
      <c r="CN130">
        <v>244</v>
      </c>
      <c r="CO130">
        <v>143</v>
      </c>
      <c r="CP130"/>
      <c r="CQ130"/>
      <c r="CR130">
        <v>143</v>
      </c>
      <c r="CS130" t="s">
        <v>788</v>
      </c>
      <c r="CT130">
        <v>12</v>
      </c>
      <c r="CU130"/>
      <c r="CV130"/>
      <c r="CW130"/>
      <c r="CX130"/>
      <c r="CY130"/>
      <c r="CZ130"/>
      <c r="DA130"/>
      <c r="DB130"/>
      <c r="DC130"/>
      <c r="DD130"/>
      <c r="DE130"/>
      <c r="DF130"/>
      <c r="DG130"/>
      <c r="DH130"/>
      <c r="DI130"/>
      <c r="DJ130"/>
      <c r="DK130"/>
      <c r="DL130"/>
      <c r="DM130"/>
      <c r="DN130"/>
      <c r="DO130"/>
      <c r="DP130"/>
      <c r="DQ130"/>
      <c r="DR130"/>
      <c r="DS130"/>
      <c r="DT130"/>
      <c r="DU130"/>
      <c r="DV130"/>
      <c r="DW130"/>
      <c r="DX130"/>
      <c r="DY130"/>
      <c r="DZ130"/>
      <c r="EA130"/>
      <c r="EB130"/>
      <c r="EC130"/>
      <c r="ED130"/>
      <c r="EE130"/>
      <c r="EF130"/>
      <c r="EG130"/>
      <c r="EH130"/>
      <c r="EI130"/>
      <c r="EJ130"/>
      <c r="EK130"/>
      <c r="EL130"/>
      <c r="EM130"/>
      <c r="EN130"/>
      <c r="EO130"/>
      <c r="EP130"/>
      <c r="EQ130"/>
      <c r="ER130">
        <v>63</v>
      </c>
      <c r="ES130"/>
      <c r="ET130"/>
      <c r="EU130"/>
      <c r="EV130" s="439">
        <v>1330</v>
      </c>
      <c r="EW130" t="s">
        <v>2354</v>
      </c>
      <c r="EX130" t="s">
        <v>2340</v>
      </c>
      <c r="EY130" t="s">
        <v>2341</v>
      </c>
      <c r="EZ130" t="s">
        <v>813</v>
      </c>
      <c r="FA130">
        <v>53527</v>
      </c>
      <c r="FB130">
        <v>1295785079</v>
      </c>
    </row>
    <row r="131" spans="1:158" x14ac:dyDescent="0.2">
      <c r="A131" s="439">
        <v>1447</v>
      </c>
      <c r="B131" t="s">
        <v>1521</v>
      </c>
      <c r="C131" t="s">
        <v>1490</v>
      </c>
      <c r="D131" t="s">
        <v>1491</v>
      </c>
      <c r="E131" t="s">
        <v>1451</v>
      </c>
      <c r="F131" t="s">
        <v>1453</v>
      </c>
      <c r="G131" t="s">
        <v>992</v>
      </c>
      <c r="H131" s="576">
        <v>58078</v>
      </c>
      <c r="I131"/>
      <c r="J131" t="s">
        <v>1491</v>
      </c>
      <c r="K131" t="s">
        <v>1451</v>
      </c>
      <c r="L131" t="s">
        <v>1452</v>
      </c>
      <c r="M131" t="s">
        <v>1453</v>
      </c>
      <c r="N131" t="s">
        <v>992</v>
      </c>
      <c r="O131" s="576">
        <v>58078</v>
      </c>
      <c r="P131"/>
      <c r="Q131">
        <v>7012379073</v>
      </c>
      <c r="R131">
        <v>7012973077</v>
      </c>
      <c r="S131" t="s">
        <v>749</v>
      </c>
      <c r="T131" t="s">
        <v>749</v>
      </c>
      <c r="U131" t="s">
        <v>749</v>
      </c>
      <c r="V131" t="s">
        <v>1492</v>
      </c>
      <c r="W131" t="s">
        <v>1493</v>
      </c>
      <c r="X131" t="s">
        <v>1494</v>
      </c>
      <c r="Y131" t="s">
        <v>1495</v>
      </c>
      <c r="Z131" t="s">
        <v>1456</v>
      </c>
      <c r="AA131" t="s">
        <v>1496</v>
      </c>
      <c r="AB131">
        <v>7012973028</v>
      </c>
      <c r="AC131">
        <v>7012379073</v>
      </c>
      <c r="AD131">
        <v>7012351582</v>
      </c>
      <c r="AE131" t="s">
        <v>1492</v>
      </c>
      <c r="AF131" t="s">
        <v>1491</v>
      </c>
      <c r="AG131" t="s">
        <v>1451</v>
      </c>
      <c r="AH131" t="s">
        <v>1452</v>
      </c>
      <c r="AI131" t="s">
        <v>1453</v>
      </c>
      <c r="AJ131" t="s">
        <v>992</v>
      </c>
      <c r="AK131" s="576">
        <v>58078</v>
      </c>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t="s">
        <v>1494</v>
      </c>
      <c r="BR131" t="s">
        <v>1495</v>
      </c>
      <c r="BS131" t="s">
        <v>1456</v>
      </c>
      <c r="BT131" t="s">
        <v>1496</v>
      </c>
      <c r="BU131">
        <v>7012973028</v>
      </c>
      <c r="BV131">
        <v>7012379073</v>
      </c>
      <c r="BW131">
        <v>7012351582</v>
      </c>
      <c r="BX131" t="s">
        <v>1492</v>
      </c>
      <c r="BY131" t="s">
        <v>1491</v>
      </c>
      <c r="BZ131" t="s">
        <v>1451</v>
      </c>
      <c r="CA131" t="s">
        <v>1452</v>
      </c>
      <c r="CB131" t="s">
        <v>1453</v>
      </c>
      <c r="CC131" t="s">
        <v>992</v>
      </c>
      <c r="CD131" s="576">
        <v>58078</v>
      </c>
      <c r="CE131"/>
      <c r="CF131" t="s">
        <v>1497</v>
      </c>
      <c r="CG131" t="s">
        <v>1496</v>
      </c>
      <c r="CH131" t="s">
        <v>141</v>
      </c>
      <c r="CI131"/>
      <c r="CJ131"/>
      <c r="CK131"/>
      <c r="CL131"/>
      <c r="CM131">
        <v>1972553758</v>
      </c>
      <c r="CN131">
        <v>244</v>
      </c>
      <c r="CO131">
        <v>143</v>
      </c>
      <c r="CP131"/>
      <c r="CQ131"/>
      <c r="CR131">
        <v>143</v>
      </c>
      <c r="CS131" t="s">
        <v>788</v>
      </c>
      <c r="CT131">
        <v>12</v>
      </c>
      <c r="CU131"/>
      <c r="CV131"/>
      <c r="CW131"/>
      <c r="CX131"/>
      <c r="CY131"/>
      <c r="CZ131"/>
      <c r="DA131"/>
      <c r="DB131"/>
      <c r="DC131"/>
      <c r="DD131"/>
      <c r="DE131"/>
      <c r="DF131"/>
      <c r="DG131"/>
      <c r="DH131"/>
      <c r="DI131"/>
      <c r="DJ131"/>
      <c r="DK131"/>
      <c r="DL131"/>
      <c r="DM131"/>
      <c r="DN131"/>
      <c r="DO131"/>
      <c r="DP131"/>
      <c r="DQ131"/>
      <c r="DR131"/>
      <c r="DS131"/>
      <c r="DT131"/>
      <c r="DU131"/>
      <c r="DV131"/>
      <c r="DW131"/>
      <c r="DX131"/>
      <c r="DY131"/>
      <c r="DZ131"/>
      <c r="EA131"/>
      <c r="EB131"/>
      <c r="EC131"/>
      <c r="ED131"/>
      <c r="EE131"/>
      <c r="EF131"/>
      <c r="EG131"/>
      <c r="EH131"/>
      <c r="EI131"/>
      <c r="EJ131"/>
      <c r="EK131"/>
      <c r="EL131"/>
      <c r="EM131"/>
      <c r="EN131"/>
      <c r="EO131"/>
      <c r="EP131"/>
      <c r="EQ131"/>
      <c r="ER131">
        <v>63</v>
      </c>
      <c r="ES131"/>
      <c r="ET131"/>
      <c r="EU131"/>
      <c r="EV131" s="439">
        <v>1842</v>
      </c>
      <c r="EW131" t="s">
        <v>2387</v>
      </c>
      <c r="EX131" t="s">
        <v>2340</v>
      </c>
      <c r="EY131" t="s">
        <v>2341</v>
      </c>
      <c r="EZ131" t="s">
        <v>813</v>
      </c>
      <c r="FA131">
        <v>53527</v>
      </c>
      <c r="FB131"/>
    </row>
    <row r="132" spans="1:158" x14ac:dyDescent="0.2">
      <c r="A132" s="439">
        <v>1779</v>
      </c>
      <c r="B132" t="s">
        <v>1522</v>
      </c>
      <c r="C132" t="s">
        <v>1490</v>
      </c>
      <c r="D132" t="s">
        <v>1491</v>
      </c>
      <c r="E132" t="s">
        <v>1451</v>
      </c>
      <c r="F132" t="s">
        <v>1453</v>
      </c>
      <c r="G132" t="s">
        <v>992</v>
      </c>
      <c r="H132" s="576">
        <v>58078</v>
      </c>
      <c r="I132"/>
      <c r="J132" t="s">
        <v>1491</v>
      </c>
      <c r="K132" t="s">
        <v>1451</v>
      </c>
      <c r="L132" t="s">
        <v>1452</v>
      </c>
      <c r="M132" t="s">
        <v>1453</v>
      </c>
      <c r="N132" t="s">
        <v>992</v>
      </c>
      <c r="O132" s="576">
        <v>58078</v>
      </c>
      <c r="P132"/>
      <c r="Q132">
        <v>7012379073</v>
      </c>
      <c r="R132">
        <v>7012351582</v>
      </c>
      <c r="S132" t="s">
        <v>749</v>
      </c>
      <c r="T132" t="s">
        <v>749</v>
      </c>
      <c r="U132" t="s">
        <v>749</v>
      </c>
      <c r="V132" t="s">
        <v>1492</v>
      </c>
      <c r="W132" t="s">
        <v>1493</v>
      </c>
      <c r="X132" t="s">
        <v>1494</v>
      </c>
      <c r="Y132" t="s">
        <v>1495</v>
      </c>
      <c r="Z132" t="s">
        <v>1456</v>
      </c>
      <c r="AA132" t="s">
        <v>1496</v>
      </c>
      <c r="AB132">
        <v>7012973028</v>
      </c>
      <c r="AC132">
        <v>7012379073</v>
      </c>
      <c r="AD132">
        <v>7012351582</v>
      </c>
      <c r="AE132" t="s">
        <v>1492</v>
      </c>
      <c r="AF132" t="s">
        <v>1491</v>
      </c>
      <c r="AG132" t="s">
        <v>1451</v>
      </c>
      <c r="AH132" t="s">
        <v>1452</v>
      </c>
      <c r="AI132" t="s">
        <v>1453</v>
      </c>
      <c r="AJ132" t="s">
        <v>992</v>
      </c>
      <c r="AK132" s="576">
        <v>58078</v>
      </c>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t="s">
        <v>1494</v>
      </c>
      <c r="BR132" t="s">
        <v>1495</v>
      </c>
      <c r="BS132" t="s">
        <v>1456</v>
      </c>
      <c r="BT132" t="s">
        <v>1496</v>
      </c>
      <c r="BU132">
        <v>7012973028</v>
      </c>
      <c r="BV132">
        <v>7012379073</v>
      </c>
      <c r="BW132">
        <v>7012351582</v>
      </c>
      <c r="BX132" t="s">
        <v>1492</v>
      </c>
      <c r="BY132" t="s">
        <v>1491</v>
      </c>
      <c r="BZ132" t="s">
        <v>1451</v>
      </c>
      <c r="CA132" t="s">
        <v>1452</v>
      </c>
      <c r="CB132" t="s">
        <v>1453</v>
      </c>
      <c r="CC132" t="s">
        <v>992</v>
      </c>
      <c r="CD132" s="576">
        <v>58078</v>
      </c>
      <c r="CE132"/>
      <c r="CF132" t="s">
        <v>1497</v>
      </c>
      <c r="CG132" t="s">
        <v>1496</v>
      </c>
      <c r="CH132" t="s">
        <v>141</v>
      </c>
      <c r="CI132"/>
      <c r="CJ132"/>
      <c r="CK132"/>
      <c r="CL132"/>
      <c r="CM132">
        <v>1972553758</v>
      </c>
      <c r="CN132">
        <v>244</v>
      </c>
      <c r="CO132">
        <v>143</v>
      </c>
      <c r="CP132"/>
      <c r="CQ132"/>
      <c r="CR132">
        <v>143</v>
      </c>
      <c r="CS132" t="s">
        <v>788</v>
      </c>
      <c r="CT132">
        <v>12</v>
      </c>
      <c r="CU132"/>
      <c r="CV132"/>
      <c r="CW132"/>
      <c r="CX132"/>
      <c r="CY132"/>
      <c r="CZ132"/>
      <c r="DA132"/>
      <c r="DB132"/>
      <c r="DC132"/>
      <c r="DD132"/>
      <c r="DE132"/>
      <c r="DF132"/>
      <c r="DG132"/>
      <c r="DH132"/>
      <c r="DI132"/>
      <c r="DJ132"/>
      <c r="DK132"/>
      <c r="DL132"/>
      <c r="DM132"/>
      <c r="DN132"/>
      <c r="DO132"/>
      <c r="DP132"/>
      <c r="DQ132"/>
      <c r="DR132"/>
      <c r="DS132"/>
      <c r="DT132"/>
      <c r="DU132"/>
      <c r="DV132"/>
      <c r="DW132"/>
      <c r="DX132"/>
      <c r="DY132"/>
      <c r="DZ132"/>
      <c r="EA132"/>
      <c r="EB132"/>
      <c r="EC132"/>
      <c r="ED132"/>
      <c r="EE132"/>
      <c r="EF132"/>
      <c r="EG132"/>
      <c r="EH132"/>
      <c r="EI132"/>
      <c r="EJ132"/>
      <c r="EK132"/>
      <c r="EL132"/>
      <c r="EM132"/>
      <c r="EN132"/>
      <c r="EO132"/>
      <c r="EP132"/>
      <c r="EQ132"/>
      <c r="ER132">
        <v>63</v>
      </c>
      <c r="ES132"/>
      <c r="ET132"/>
      <c r="EU132"/>
      <c r="EV132" s="439">
        <v>1843</v>
      </c>
      <c r="EW132" t="s">
        <v>2386</v>
      </c>
      <c r="EX132" t="s">
        <v>2340</v>
      </c>
      <c r="EY132" t="s">
        <v>2341</v>
      </c>
      <c r="EZ132" t="s">
        <v>813</v>
      </c>
      <c r="FA132">
        <v>53527</v>
      </c>
      <c r="FB132"/>
    </row>
    <row r="133" spans="1:158" x14ac:dyDescent="0.2">
      <c r="A133" s="439">
        <v>950</v>
      </c>
      <c r="B133" t="s">
        <v>1523</v>
      </c>
      <c r="C133" t="s">
        <v>1490</v>
      </c>
      <c r="D133" t="s">
        <v>1491</v>
      </c>
      <c r="E133" t="s">
        <v>1451</v>
      </c>
      <c r="F133" t="s">
        <v>1453</v>
      </c>
      <c r="G133" t="s">
        <v>992</v>
      </c>
      <c r="H133" s="576">
        <v>58078</v>
      </c>
      <c r="I133"/>
      <c r="J133" t="s">
        <v>1491</v>
      </c>
      <c r="K133" t="s">
        <v>1451</v>
      </c>
      <c r="L133" t="s">
        <v>1452</v>
      </c>
      <c r="M133" t="s">
        <v>1453</v>
      </c>
      <c r="N133" t="s">
        <v>992</v>
      </c>
      <c r="O133" s="576">
        <v>58078</v>
      </c>
      <c r="P133"/>
      <c r="Q133">
        <v>7012379073</v>
      </c>
      <c r="R133">
        <v>7012351582</v>
      </c>
      <c r="S133" t="s">
        <v>749</v>
      </c>
      <c r="T133" t="s">
        <v>749</v>
      </c>
      <c r="U133" t="s">
        <v>749</v>
      </c>
      <c r="V133" t="s">
        <v>1492</v>
      </c>
      <c r="W133" t="s">
        <v>1493</v>
      </c>
      <c r="X133" t="s">
        <v>1494</v>
      </c>
      <c r="Y133" t="s">
        <v>1495</v>
      </c>
      <c r="Z133" t="s">
        <v>1456</v>
      </c>
      <c r="AA133" t="s">
        <v>1496</v>
      </c>
      <c r="AB133">
        <v>7012973028</v>
      </c>
      <c r="AC133">
        <v>7012379073</v>
      </c>
      <c r="AD133">
        <v>7012351582</v>
      </c>
      <c r="AE133" t="s">
        <v>1492</v>
      </c>
      <c r="AF133" t="s">
        <v>1491</v>
      </c>
      <c r="AG133" t="s">
        <v>1451</v>
      </c>
      <c r="AH133" t="s">
        <v>1452</v>
      </c>
      <c r="AI133" t="s">
        <v>1453</v>
      </c>
      <c r="AJ133" t="s">
        <v>992</v>
      </c>
      <c r="AK133" s="576">
        <v>58078</v>
      </c>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t="s">
        <v>1494</v>
      </c>
      <c r="BR133" t="s">
        <v>1495</v>
      </c>
      <c r="BS133" t="s">
        <v>1456</v>
      </c>
      <c r="BT133" t="s">
        <v>1496</v>
      </c>
      <c r="BU133">
        <v>7012973028</v>
      </c>
      <c r="BV133">
        <v>7012379073</v>
      </c>
      <c r="BW133">
        <v>7012351582</v>
      </c>
      <c r="BX133" t="s">
        <v>1492</v>
      </c>
      <c r="BY133" t="s">
        <v>1491</v>
      </c>
      <c r="BZ133" t="s">
        <v>1451</v>
      </c>
      <c r="CA133" t="s">
        <v>1452</v>
      </c>
      <c r="CB133" t="s">
        <v>1453</v>
      </c>
      <c r="CC133" t="s">
        <v>992</v>
      </c>
      <c r="CD133" s="576">
        <v>58078</v>
      </c>
      <c r="CE133"/>
      <c r="CF133" t="s">
        <v>1497</v>
      </c>
      <c r="CG133" t="s">
        <v>1496</v>
      </c>
      <c r="CH133" t="s">
        <v>141</v>
      </c>
      <c r="CI133"/>
      <c r="CJ133"/>
      <c r="CK133"/>
      <c r="CL133"/>
      <c r="CM133">
        <v>1972553758</v>
      </c>
      <c r="CN133">
        <v>244</v>
      </c>
      <c r="CO133">
        <v>143</v>
      </c>
      <c r="CP133"/>
      <c r="CQ133"/>
      <c r="CR133">
        <v>143</v>
      </c>
      <c r="CS133" t="s">
        <v>788</v>
      </c>
      <c r="CT133">
        <v>12</v>
      </c>
      <c r="CU133"/>
      <c r="CV133"/>
      <c r="CW133"/>
      <c r="CX133"/>
      <c r="CY133"/>
      <c r="CZ133"/>
      <c r="DA133"/>
      <c r="DB133"/>
      <c r="DC133"/>
      <c r="DD133"/>
      <c r="DE133"/>
      <c r="DF133"/>
      <c r="DG133"/>
      <c r="DH133"/>
      <c r="DI133"/>
      <c r="DJ133"/>
      <c r="DK133"/>
      <c r="DL133"/>
      <c r="DM133"/>
      <c r="DN133"/>
      <c r="DO133"/>
      <c r="DP133"/>
      <c r="DQ133"/>
      <c r="DR133"/>
      <c r="DS133"/>
      <c r="DT133"/>
      <c r="DU133"/>
      <c r="DV133"/>
      <c r="DW133"/>
      <c r="DX133"/>
      <c r="DY133"/>
      <c r="DZ133"/>
      <c r="EA133"/>
      <c r="EB133"/>
      <c r="EC133"/>
      <c r="ED133"/>
      <c r="EE133"/>
      <c r="EF133"/>
      <c r="EG133"/>
      <c r="EH133"/>
      <c r="EI133"/>
      <c r="EJ133"/>
      <c r="EK133"/>
      <c r="EL133"/>
      <c r="EM133"/>
      <c r="EN133"/>
      <c r="EO133"/>
      <c r="EP133"/>
      <c r="EQ133"/>
      <c r="ER133">
        <v>63</v>
      </c>
      <c r="ES133"/>
      <c r="ET133"/>
      <c r="EU133"/>
      <c r="EV133" s="439">
        <v>1689</v>
      </c>
      <c r="EW133" t="s">
        <v>2388</v>
      </c>
      <c r="EX133" t="s">
        <v>2340</v>
      </c>
      <c r="EY133" t="s">
        <v>2341</v>
      </c>
      <c r="EZ133" t="s">
        <v>813</v>
      </c>
      <c r="FA133">
        <v>53527</v>
      </c>
      <c r="FB133">
        <v>1295785079</v>
      </c>
    </row>
    <row r="134" spans="1:158" x14ac:dyDescent="0.2">
      <c r="A134" s="439">
        <v>951</v>
      </c>
      <c r="B134" t="s">
        <v>1524</v>
      </c>
      <c r="C134" t="s">
        <v>1490</v>
      </c>
      <c r="D134" t="s">
        <v>1491</v>
      </c>
      <c r="E134" t="s">
        <v>1451</v>
      </c>
      <c r="F134" t="s">
        <v>1453</v>
      </c>
      <c r="G134" t="s">
        <v>992</v>
      </c>
      <c r="H134" s="576">
        <v>58078</v>
      </c>
      <c r="I134"/>
      <c r="J134" t="s">
        <v>1491</v>
      </c>
      <c r="K134" t="s">
        <v>1451</v>
      </c>
      <c r="L134" t="s">
        <v>1452</v>
      </c>
      <c r="M134" t="s">
        <v>1453</v>
      </c>
      <c r="N134" t="s">
        <v>992</v>
      </c>
      <c r="O134" s="576">
        <v>58078</v>
      </c>
      <c r="P134"/>
      <c r="Q134">
        <v>7012379073</v>
      </c>
      <c r="R134">
        <v>7012351582</v>
      </c>
      <c r="S134" t="s">
        <v>749</v>
      </c>
      <c r="T134" t="s">
        <v>749</v>
      </c>
      <c r="U134" t="s">
        <v>749</v>
      </c>
      <c r="V134" t="s">
        <v>1492</v>
      </c>
      <c r="W134" t="s">
        <v>1493</v>
      </c>
      <c r="X134" t="s">
        <v>1494</v>
      </c>
      <c r="Y134" t="s">
        <v>1495</v>
      </c>
      <c r="Z134" t="s">
        <v>1456</v>
      </c>
      <c r="AA134" t="s">
        <v>1496</v>
      </c>
      <c r="AB134">
        <v>7012973028</v>
      </c>
      <c r="AC134">
        <v>7012379073</v>
      </c>
      <c r="AD134">
        <v>7012351582</v>
      </c>
      <c r="AE134" t="s">
        <v>1492</v>
      </c>
      <c r="AF134" t="s">
        <v>1491</v>
      </c>
      <c r="AG134" t="s">
        <v>1451</v>
      </c>
      <c r="AH134" t="s">
        <v>1452</v>
      </c>
      <c r="AI134" t="s">
        <v>1453</v>
      </c>
      <c r="AJ134" t="s">
        <v>992</v>
      </c>
      <c r="AK134" s="576">
        <v>58078</v>
      </c>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t="s">
        <v>1494</v>
      </c>
      <c r="BR134" t="s">
        <v>1495</v>
      </c>
      <c r="BS134" t="s">
        <v>1456</v>
      </c>
      <c r="BT134" t="s">
        <v>1496</v>
      </c>
      <c r="BU134">
        <v>7012973028</v>
      </c>
      <c r="BV134">
        <v>7012379073</v>
      </c>
      <c r="BW134">
        <v>7012351582</v>
      </c>
      <c r="BX134" t="s">
        <v>1492</v>
      </c>
      <c r="BY134" t="s">
        <v>1491</v>
      </c>
      <c r="BZ134" t="s">
        <v>1451</v>
      </c>
      <c r="CA134" t="s">
        <v>1452</v>
      </c>
      <c r="CB134" t="s">
        <v>1453</v>
      </c>
      <c r="CC134" t="s">
        <v>992</v>
      </c>
      <c r="CD134" s="576">
        <v>58078</v>
      </c>
      <c r="CE134"/>
      <c r="CF134" t="s">
        <v>1497</v>
      </c>
      <c r="CG134" t="s">
        <v>1496</v>
      </c>
      <c r="CH134" t="s">
        <v>141</v>
      </c>
      <c r="CI134"/>
      <c r="CJ134"/>
      <c r="CK134"/>
      <c r="CL134"/>
      <c r="CM134">
        <v>1972553758</v>
      </c>
      <c r="CN134">
        <v>244</v>
      </c>
      <c r="CO134">
        <v>143</v>
      </c>
      <c r="CP134"/>
      <c r="CQ134"/>
      <c r="CR134">
        <v>143</v>
      </c>
      <c r="CS134" t="s">
        <v>788</v>
      </c>
      <c r="CT134">
        <v>12</v>
      </c>
      <c r="CU134"/>
      <c r="CV134"/>
      <c r="CW134"/>
      <c r="CX134"/>
      <c r="CY134"/>
      <c r="CZ134"/>
      <c r="DA134"/>
      <c r="DB134"/>
      <c r="DC134"/>
      <c r="DD134"/>
      <c r="DE134"/>
      <c r="DF134"/>
      <c r="DG134"/>
      <c r="DH134"/>
      <c r="DI134"/>
      <c r="DJ134"/>
      <c r="DK134"/>
      <c r="DL134"/>
      <c r="DM134"/>
      <c r="DN134"/>
      <c r="DO134"/>
      <c r="DP134"/>
      <c r="DQ134"/>
      <c r="DR134"/>
      <c r="DS134"/>
      <c r="DT134"/>
      <c r="DU134"/>
      <c r="DV134"/>
      <c r="DW134"/>
      <c r="DX134"/>
      <c r="DY134"/>
      <c r="DZ134"/>
      <c r="EA134"/>
      <c r="EB134"/>
      <c r="EC134"/>
      <c r="ED134"/>
      <c r="EE134"/>
      <c r="EF134"/>
      <c r="EG134"/>
      <c r="EH134"/>
      <c r="EI134"/>
      <c r="EJ134"/>
      <c r="EK134"/>
      <c r="EL134"/>
      <c r="EM134"/>
      <c r="EN134"/>
      <c r="EO134"/>
      <c r="EP134"/>
      <c r="EQ134"/>
      <c r="ER134">
        <v>63</v>
      </c>
      <c r="ES134"/>
      <c r="ET134"/>
      <c r="EU134"/>
      <c r="EV134" s="439">
        <v>1208</v>
      </c>
      <c r="EW134" t="s">
        <v>2355</v>
      </c>
      <c r="EX134" t="s">
        <v>2340</v>
      </c>
      <c r="EY134" t="s">
        <v>2341</v>
      </c>
      <c r="EZ134" t="s">
        <v>813</v>
      </c>
      <c r="FA134">
        <v>53527</v>
      </c>
      <c r="FB134">
        <v>1295785079</v>
      </c>
    </row>
    <row r="135" spans="1:158" x14ac:dyDescent="0.2">
      <c r="A135" s="439">
        <v>1270</v>
      </c>
      <c r="B135" t="s">
        <v>1525</v>
      </c>
      <c r="C135" t="s">
        <v>1490</v>
      </c>
      <c r="D135" t="s">
        <v>1491</v>
      </c>
      <c r="E135" t="s">
        <v>1451</v>
      </c>
      <c r="F135" t="s">
        <v>1453</v>
      </c>
      <c r="G135" t="s">
        <v>992</v>
      </c>
      <c r="H135" s="576">
        <v>58078</v>
      </c>
      <c r="I135"/>
      <c r="J135" t="s">
        <v>1491</v>
      </c>
      <c r="K135" t="s">
        <v>1451</v>
      </c>
      <c r="L135" t="s">
        <v>1452</v>
      </c>
      <c r="M135" t="s">
        <v>1453</v>
      </c>
      <c r="N135" t="s">
        <v>992</v>
      </c>
      <c r="O135" s="576">
        <v>58078</v>
      </c>
      <c r="P135"/>
      <c r="Q135">
        <v>7012379073</v>
      </c>
      <c r="R135">
        <v>7012351582</v>
      </c>
      <c r="S135" t="s">
        <v>749</v>
      </c>
      <c r="T135" t="s">
        <v>749</v>
      </c>
      <c r="U135" t="s">
        <v>749</v>
      </c>
      <c r="V135" t="s">
        <v>1492</v>
      </c>
      <c r="W135" t="s">
        <v>1493</v>
      </c>
      <c r="X135" t="s">
        <v>1494</v>
      </c>
      <c r="Y135" t="s">
        <v>1495</v>
      </c>
      <c r="Z135" t="s">
        <v>1456</v>
      </c>
      <c r="AA135" t="s">
        <v>1496</v>
      </c>
      <c r="AB135">
        <v>7012973028</v>
      </c>
      <c r="AC135">
        <v>7012379073</v>
      </c>
      <c r="AD135">
        <v>7012351582</v>
      </c>
      <c r="AE135" t="s">
        <v>1492</v>
      </c>
      <c r="AF135" t="s">
        <v>1491</v>
      </c>
      <c r="AG135" t="s">
        <v>1451</v>
      </c>
      <c r="AH135" t="s">
        <v>1452</v>
      </c>
      <c r="AI135" t="s">
        <v>1453</v>
      </c>
      <c r="AJ135" t="s">
        <v>992</v>
      </c>
      <c r="AK135" s="576">
        <v>58078</v>
      </c>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t="s">
        <v>1494</v>
      </c>
      <c r="BR135" t="s">
        <v>1495</v>
      </c>
      <c r="BS135" t="s">
        <v>1456</v>
      </c>
      <c r="BT135" t="s">
        <v>1496</v>
      </c>
      <c r="BU135">
        <v>7012973028</v>
      </c>
      <c r="BV135">
        <v>7012379073</v>
      </c>
      <c r="BW135">
        <v>7012351582</v>
      </c>
      <c r="BX135" t="s">
        <v>1492</v>
      </c>
      <c r="BY135" t="s">
        <v>1491</v>
      </c>
      <c r="BZ135" t="s">
        <v>1451</v>
      </c>
      <c r="CA135" t="s">
        <v>1452</v>
      </c>
      <c r="CB135" t="s">
        <v>1453</v>
      </c>
      <c r="CC135" t="s">
        <v>992</v>
      </c>
      <c r="CD135" s="576">
        <v>58078</v>
      </c>
      <c r="CE135"/>
      <c r="CF135" t="s">
        <v>1497</v>
      </c>
      <c r="CG135" t="s">
        <v>1496</v>
      </c>
      <c r="CH135" t="s">
        <v>141</v>
      </c>
      <c r="CI135"/>
      <c r="CJ135"/>
      <c r="CK135"/>
      <c r="CL135"/>
      <c r="CM135">
        <v>1972553758</v>
      </c>
      <c r="CN135">
        <v>244</v>
      </c>
      <c r="CO135">
        <v>143</v>
      </c>
      <c r="CP135"/>
      <c r="CQ135"/>
      <c r="CR135">
        <v>143</v>
      </c>
      <c r="CS135" t="s">
        <v>788</v>
      </c>
      <c r="CT135">
        <v>12</v>
      </c>
      <c r="CU135"/>
      <c r="CV135"/>
      <c r="CW135"/>
      <c r="CX135"/>
      <c r="CY135"/>
      <c r="CZ135"/>
      <c r="DA135"/>
      <c r="DB135"/>
      <c r="DC135"/>
      <c r="DD135"/>
      <c r="DE135"/>
      <c r="DF135"/>
      <c r="DG135"/>
      <c r="DH135"/>
      <c r="DI135"/>
      <c r="DJ135"/>
      <c r="DK135"/>
      <c r="DL135"/>
      <c r="DM135"/>
      <c r="DN135"/>
      <c r="DO135"/>
      <c r="DP135"/>
      <c r="DQ135"/>
      <c r="DR135"/>
      <c r="DS135"/>
      <c r="DT135"/>
      <c r="DU135"/>
      <c r="DV135"/>
      <c r="DW135"/>
      <c r="DX135"/>
      <c r="DY135"/>
      <c r="DZ135"/>
      <c r="EA135"/>
      <c r="EB135"/>
      <c r="EC135"/>
      <c r="ED135"/>
      <c r="EE135"/>
      <c r="EF135"/>
      <c r="EG135"/>
      <c r="EH135"/>
      <c r="EI135"/>
      <c r="EJ135"/>
      <c r="EK135"/>
      <c r="EL135"/>
      <c r="EM135"/>
      <c r="EN135"/>
      <c r="EO135"/>
      <c r="EP135"/>
      <c r="EQ135"/>
      <c r="ER135">
        <v>63</v>
      </c>
      <c r="ES135"/>
      <c r="ET135"/>
      <c r="EU135"/>
      <c r="EV135" s="439">
        <v>1131</v>
      </c>
      <c r="EW135" t="s">
        <v>2356</v>
      </c>
      <c r="EX135" t="s">
        <v>2340</v>
      </c>
      <c r="EY135" t="s">
        <v>2341</v>
      </c>
      <c r="EZ135" t="s">
        <v>813</v>
      </c>
      <c r="FA135">
        <v>53527</v>
      </c>
      <c r="FB135">
        <v>1295785079</v>
      </c>
    </row>
    <row r="136" spans="1:158" x14ac:dyDescent="0.2">
      <c r="A136" s="439">
        <v>603</v>
      </c>
      <c r="B136" t="s">
        <v>1526</v>
      </c>
      <c r="C136" t="s">
        <v>1490</v>
      </c>
      <c r="D136" t="s">
        <v>1491</v>
      </c>
      <c r="E136" t="s">
        <v>1451</v>
      </c>
      <c r="F136" t="s">
        <v>1453</v>
      </c>
      <c r="G136" t="s">
        <v>992</v>
      </c>
      <c r="H136" s="576">
        <v>58078</v>
      </c>
      <c r="I136"/>
      <c r="J136" t="s">
        <v>1491</v>
      </c>
      <c r="K136" t="s">
        <v>1451</v>
      </c>
      <c r="L136" t="s">
        <v>1452</v>
      </c>
      <c r="M136" t="s">
        <v>1453</v>
      </c>
      <c r="N136" t="s">
        <v>992</v>
      </c>
      <c r="O136" s="576">
        <v>58078</v>
      </c>
      <c r="P136"/>
      <c r="Q136">
        <v>7012379073</v>
      </c>
      <c r="R136">
        <v>7012351582</v>
      </c>
      <c r="S136" t="s">
        <v>749</v>
      </c>
      <c r="T136" t="s">
        <v>749</v>
      </c>
      <c r="U136" t="s">
        <v>749</v>
      </c>
      <c r="V136" t="s">
        <v>1492</v>
      </c>
      <c r="W136" t="s">
        <v>1493</v>
      </c>
      <c r="X136" t="s">
        <v>1494</v>
      </c>
      <c r="Y136" t="s">
        <v>1495</v>
      </c>
      <c r="Z136" t="s">
        <v>1456</v>
      </c>
      <c r="AA136" t="s">
        <v>1496</v>
      </c>
      <c r="AB136">
        <v>7012973028</v>
      </c>
      <c r="AC136">
        <v>7012379073</v>
      </c>
      <c r="AD136">
        <v>7012351582</v>
      </c>
      <c r="AE136" t="s">
        <v>1492</v>
      </c>
      <c r="AF136" t="s">
        <v>1491</v>
      </c>
      <c r="AG136" t="s">
        <v>1451</v>
      </c>
      <c r="AH136" t="s">
        <v>1452</v>
      </c>
      <c r="AI136" t="s">
        <v>1453</v>
      </c>
      <c r="AJ136" t="s">
        <v>992</v>
      </c>
      <c r="AK136" s="576">
        <v>58078</v>
      </c>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t="s">
        <v>1494</v>
      </c>
      <c r="BR136" t="s">
        <v>1495</v>
      </c>
      <c r="BS136" t="s">
        <v>1456</v>
      </c>
      <c r="BT136" t="s">
        <v>1496</v>
      </c>
      <c r="BU136">
        <v>7012973028</v>
      </c>
      <c r="BV136">
        <v>7012379073</v>
      </c>
      <c r="BW136">
        <v>7012351582</v>
      </c>
      <c r="BX136" t="s">
        <v>1492</v>
      </c>
      <c r="BY136" t="s">
        <v>1491</v>
      </c>
      <c r="BZ136" t="s">
        <v>1451</v>
      </c>
      <c r="CA136" t="s">
        <v>1452</v>
      </c>
      <c r="CB136" t="s">
        <v>1453</v>
      </c>
      <c r="CC136" t="s">
        <v>992</v>
      </c>
      <c r="CD136" s="576">
        <v>58078</v>
      </c>
      <c r="CE136"/>
      <c r="CF136" t="s">
        <v>1497</v>
      </c>
      <c r="CG136" t="s">
        <v>1496</v>
      </c>
      <c r="CH136" t="s">
        <v>141</v>
      </c>
      <c r="CI136"/>
      <c r="CJ136"/>
      <c r="CK136"/>
      <c r="CL136"/>
      <c r="CM136">
        <v>1972553758</v>
      </c>
      <c r="CN136">
        <v>244</v>
      </c>
      <c r="CO136">
        <v>143</v>
      </c>
      <c r="CP136"/>
      <c r="CQ136"/>
      <c r="CR136">
        <v>143</v>
      </c>
      <c r="CS136" t="s">
        <v>788</v>
      </c>
      <c r="CT136">
        <v>12</v>
      </c>
      <c r="CU136"/>
      <c r="CV136"/>
      <c r="CW136"/>
      <c r="CX136"/>
      <c r="CY136"/>
      <c r="CZ136"/>
      <c r="DA136"/>
      <c r="DB136"/>
      <c r="DC136"/>
      <c r="DD136"/>
      <c r="DE136"/>
      <c r="DF136"/>
      <c r="DG136"/>
      <c r="DH136"/>
      <c r="DI136"/>
      <c r="DJ136"/>
      <c r="DK136"/>
      <c r="DL136"/>
      <c r="DM136"/>
      <c r="DN136"/>
      <c r="DO136"/>
      <c r="DP136"/>
      <c r="DQ136"/>
      <c r="DR136"/>
      <c r="DS136"/>
      <c r="DT136"/>
      <c r="DU136"/>
      <c r="DV136"/>
      <c r="DW136"/>
      <c r="DX136"/>
      <c r="DY136"/>
      <c r="DZ136"/>
      <c r="EA136"/>
      <c r="EB136"/>
      <c r="EC136"/>
      <c r="ED136"/>
      <c r="EE136"/>
      <c r="EF136"/>
      <c r="EG136"/>
      <c r="EH136"/>
      <c r="EI136"/>
      <c r="EJ136"/>
      <c r="EK136"/>
      <c r="EL136"/>
      <c r="EM136"/>
      <c r="EN136"/>
      <c r="EO136"/>
      <c r="EP136"/>
      <c r="EQ136"/>
      <c r="ER136">
        <v>63</v>
      </c>
      <c r="ES136"/>
      <c r="ET136"/>
      <c r="EU136"/>
      <c r="EV136" s="439">
        <v>1694</v>
      </c>
      <c r="EW136" t="s">
        <v>2358</v>
      </c>
      <c r="EX136" t="s">
        <v>2340</v>
      </c>
      <c r="EY136" t="s">
        <v>2341</v>
      </c>
      <c r="EZ136" t="s">
        <v>813</v>
      </c>
      <c r="FA136">
        <v>53527</v>
      </c>
      <c r="FB136">
        <v>1295785079</v>
      </c>
    </row>
    <row r="137" spans="1:158" x14ac:dyDescent="0.2">
      <c r="A137" s="439">
        <v>978</v>
      </c>
      <c r="B137" t="s">
        <v>1527</v>
      </c>
      <c r="C137" t="s">
        <v>1490</v>
      </c>
      <c r="D137" t="s">
        <v>1491</v>
      </c>
      <c r="E137" t="s">
        <v>1451</v>
      </c>
      <c r="F137" t="s">
        <v>1453</v>
      </c>
      <c r="G137" t="s">
        <v>992</v>
      </c>
      <c r="H137" s="576">
        <v>58078</v>
      </c>
      <c r="I137"/>
      <c r="J137" t="s">
        <v>1491</v>
      </c>
      <c r="K137" t="s">
        <v>1451</v>
      </c>
      <c r="L137" t="s">
        <v>1452</v>
      </c>
      <c r="M137" t="s">
        <v>1453</v>
      </c>
      <c r="N137" t="s">
        <v>992</v>
      </c>
      <c r="O137" s="576">
        <v>58078</v>
      </c>
      <c r="P137"/>
      <c r="Q137">
        <v>7012379073</v>
      </c>
      <c r="R137">
        <v>7012351582</v>
      </c>
      <c r="S137" t="s">
        <v>749</v>
      </c>
      <c r="T137" t="s">
        <v>749</v>
      </c>
      <c r="U137" t="s">
        <v>749</v>
      </c>
      <c r="V137" t="s">
        <v>1492</v>
      </c>
      <c r="W137" t="s">
        <v>1493</v>
      </c>
      <c r="X137" t="s">
        <v>1494</v>
      </c>
      <c r="Y137" t="s">
        <v>1495</v>
      </c>
      <c r="Z137" t="s">
        <v>1456</v>
      </c>
      <c r="AA137" t="s">
        <v>1496</v>
      </c>
      <c r="AB137">
        <v>7012973028</v>
      </c>
      <c r="AC137">
        <v>7012379073</v>
      </c>
      <c r="AD137">
        <v>7012351582</v>
      </c>
      <c r="AE137" t="s">
        <v>1492</v>
      </c>
      <c r="AF137" t="s">
        <v>1491</v>
      </c>
      <c r="AG137" t="s">
        <v>1451</v>
      </c>
      <c r="AH137" t="s">
        <v>1452</v>
      </c>
      <c r="AI137" t="s">
        <v>1453</v>
      </c>
      <c r="AJ137" t="s">
        <v>992</v>
      </c>
      <c r="AK137" s="576">
        <v>58078</v>
      </c>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t="s">
        <v>1494</v>
      </c>
      <c r="BR137" t="s">
        <v>1495</v>
      </c>
      <c r="BS137" t="s">
        <v>1456</v>
      </c>
      <c r="BT137" t="s">
        <v>1496</v>
      </c>
      <c r="BU137">
        <v>7012973028</v>
      </c>
      <c r="BV137">
        <v>7012379073</v>
      </c>
      <c r="BW137">
        <v>7012351582</v>
      </c>
      <c r="BX137" t="s">
        <v>1492</v>
      </c>
      <c r="BY137" t="s">
        <v>1491</v>
      </c>
      <c r="BZ137" t="s">
        <v>1451</v>
      </c>
      <c r="CA137" t="s">
        <v>1452</v>
      </c>
      <c r="CB137" t="s">
        <v>1453</v>
      </c>
      <c r="CC137" t="s">
        <v>992</v>
      </c>
      <c r="CD137" s="576">
        <v>58078</v>
      </c>
      <c r="CE137"/>
      <c r="CF137" t="s">
        <v>1497</v>
      </c>
      <c r="CG137" t="s">
        <v>1496</v>
      </c>
      <c r="CH137" t="s">
        <v>141</v>
      </c>
      <c r="CI137"/>
      <c r="CJ137"/>
      <c r="CK137"/>
      <c r="CL137"/>
      <c r="CM137">
        <v>1972553758</v>
      </c>
      <c r="CN137">
        <v>244</v>
      </c>
      <c r="CO137">
        <v>143</v>
      </c>
      <c r="CP137"/>
      <c r="CQ137"/>
      <c r="CR137">
        <v>143</v>
      </c>
      <c r="CS137" t="s">
        <v>788</v>
      </c>
      <c r="CT137">
        <v>12</v>
      </c>
      <c r="CU137"/>
      <c r="CV137"/>
      <c r="CW137"/>
      <c r="CX137"/>
      <c r="CY137"/>
      <c r="CZ137"/>
      <c r="DA137"/>
      <c r="DB137"/>
      <c r="DC137"/>
      <c r="DD137"/>
      <c r="DE137"/>
      <c r="DF137"/>
      <c r="DG137"/>
      <c r="DH137"/>
      <c r="DI137"/>
      <c r="DJ137"/>
      <c r="DK137"/>
      <c r="DL137"/>
      <c r="DM137"/>
      <c r="DN137"/>
      <c r="DO137"/>
      <c r="DP137"/>
      <c r="DQ137"/>
      <c r="DR137"/>
      <c r="DS137"/>
      <c r="DT137"/>
      <c r="DU137"/>
      <c r="DV137"/>
      <c r="DW137"/>
      <c r="DX137"/>
      <c r="DY137"/>
      <c r="DZ137"/>
      <c r="EA137"/>
      <c r="EB137"/>
      <c r="EC137"/>
      <c r="ED137"/>
      <c r="EE137"/>
      <c r="EF137"/>
      <c r="EG137"/>
      <c r="EH137"/>
      <c r="EI137"/>
      <c r="EJ137"/>
      <c r="EK137"/>
      <c r="EL137"/>
      <c r="EM137"/>
      <c r="EN137"/>
      <c r="EO137"/>
      <c r="EP137"/>
      <c r="EQ137"/>
      <c r="ER137">
        <v>63</v>
      </c>
      <c r="ES137"/>
      <c r="ET137"/>
      <c r="EU137"/>
      <c r="EV137" s="439">
        <v>988</v>
      </c>
      <c r="EW137" t="s">
        <v>2359</v>
      </c>
      <c r="EX137" t="s">
        <v>2340</v>
      </c>
      <c r="EY137" t="s">
        <v>2341</v>
      </c>
      <c r="EZ137" t="s">
        <v>813</v>
      </c>
      <c r="FA137">
        <v>53527</v>
      </c>
      <c r="FB137">
        <v>1295785079</v>
      </c>
    </row>
    <row r="138" spans="1:158" x14ac:dyDescent="0.2">
      <c r="A138" s="439">
        <v>1047</v>
      </c>
      <c r="B138" t="s">
        <v>1528</v>
      </c>
      <c r="C138" t="s">
        <v>1490</v>
      </c>
      <c r="D138" t="s">
        <v>1491</v>
      </c>
      <c r="E138" t="s">
        <v>1451</v>
      </c>
      <c r="F138" t="s">
        <v>1453</v>
      </c>
      <c r="G138" t="s">
        <v>992</v>
      </c>
      <c r="H138" s="576">
        <v>58078</v>
      </c>
      <c r="I138"/>
      <c r="J138" t="s">
        <v>1491</v>
      </c>
      <c r="K138" t="s">
        <v>1451</v>
      </c>
      <c r="L138" t="s">
        <v>1452</v>
      </c>
      <c r="M138" t="s">
        <v>1453</v>
      </c>
      <c r="N138" t="s">
        <v>992</v>
      </c>
      <c r="O138" s="576">
        <v>58078</v>
      </c>
      <c r="P138"/>
      <c r="Q138">
        <v>7012379073</v>
      </c>
      <c r="R138">
        <v>7012973077</v>
      </c>
      <c r="S138" t="s">
        <v>749</v>
      </c>
      <c r="T138" t="s">
        <v>749</v>
      </c>
      <c r="U138" t="s">
        <v>749</v>
      </c>
      <c r="V138" t="s">
        <v>1492</v>
      </c>
      <c r="W138" t="s">
        <v>1493</v>
      </c>
      <c r="X138" t="s">
        <v>1494</v>
      </c>
      <c r="Y138" t="s">
        <v>1495</v>
      </c>
      <c r="Z138" t="s">
        <v>1456</v>
      </c>
      <c r="AA138" t="s">
        <v>1496</v>
      </c>
      <c r="AB138">
        <v>7012973028</v>
      </c>
      <c r="AC138">
        <v>7012379073</v>
      </c>
      <c r="AD138">
        <v>7012351582</v>
      </c>
      <c r="AE138" t="s">
        <v>1492</v>
      </c>
      <c r="AF138" t="s">
        <v>1491</v>
      </c>
      <c r="AG138" t="s">
        <v>1451</v>
      </c>
      <c r="AH138" t="s">
        <v>1452</v>
      </c>
      <c r="AI138" t="s">
        <v>1453</v>
      </c>
      <c r="AJ138" t="s">
        <v>992</v>
      </c>
      <c r="AK138" s="576">
        <v>58078</v>
      </c>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t="s">
        <v>1494</v>
      </c>
      <c r="BR138" t="s">
        <v>1495</v>
      </c>
      <c r="BS138" t="s">
        <v>1456</v>
      </c>
      <c r="BT138" t="s">
        <v>1496</v>
      </c>
      <c r="BU138">
        <v>7012973028</v>
      </c>
      <c r="BV138">
        <v>7012379073</v>
      </c>
      <c r="BW138">
        <v>7012351582</v>
      </c>
      <c r="BX138" t="s">
        <v>1492</v>
      </c>
      <c r="BY138" t="s">
        <v>1491</v>
      </c>
      <c r="BZ138" t="s">
        <v>1451</v>
      </c>
      <c r="CA138" t="s">
        <v>1452</v>
      </c>
      <c r="CB138" t="s">
        <v>1453</v>
      </c>
      <c r="CC138" t="s">
        <v>992</v>
      </c>
      <c r="CD138" s="576">
        <v>58078</v>
      </c>
      <c r="CE138"/>
      <c r="CF138" t="s">
        <v>1497</v>
      </c>
      <c r="CG138" t="s">
        <v>1496</v>
      </c>
      <c r="CH138" t="s">
        <v>141</v>
      </c>
      <c r="CI138"/>
      <c r="CJ138"/>
      <c r="CK138"/>
      <c r="CL138"/>
      <c r="CM138">
        <v>1972553758</v>
      </c>
      <c r="CN138">
        <v>244</v>
      </c>
      <c r="CO138">
        <v>143</v>
      </c>
      <c r="CP138"/>
      <c r="CQ138"/>
      <c r="CR138">
        <v>143</v>
      </c>
      <c r="CS138" t="s">
        <v>788</v>
      </c>
      <c r="CT138">
        <v>12</v>
      </c>
      <c r="CU138"/>
      <c r="CV138"/>
      <c r="CW138"/>
      <c r="CX138"/>
      <c r="CY138"/>
      <c r="CZ138"/>
      <c r="DA138"/>
      <c r="DB138"/>
      <c r="DC138"/>
      <c r="DD138"/>
      <c r="DE138"/>
      <c r="DF138"/>
      <c r="DG138"/>
      <c r="DH138"/>
      <c r="DI138"/>
      <c r="DJ138"/>
      <c r="DK138"/>
      <c r="DL138"/>
      <c r="DM138"/>
      <c r="DN138"/>
      <c r="DO138"/>
      <c r="DP138"/>
      <c r="DQ138"/>
      <c r="DR138"/>
      <c r="DS138"/>
      <c r="DT138"/>
      <c r="DU138"/>
      <c r="DV138"/>
      <c r="DW138"/>
      <c r="DX138"/>
      <c r="DY138"/>
      <c r="DZ138"/>
      <c r="EA138"/>
      <c r="EB138"/>
      <c r="EC138"/>
      <c r="ED138"/>
      <c r="EE138"/>
      <c r="EF138"/>
      <c r="EG138"/>
      <c r="EH138"/>
      <c r="EI138"/>
      <c r="EJ138"/>
      <c r="EK138"/>
      <c r="EL138"/>
      <c r="EM138"/>
      <c r="EN138"/>
      <c r="EO138"/>
      <c r="EP138"/>
      <c r="EQ138"/>
      <c r="ER138">
        <v>63</v>
      </c>
      <c r="ES138"/>
      <c r="ET138"/>
      <c r="EU138"/>
      <c r="EV138" s="439">
        <v>904</v>
      </c>
      <c r="EW138" t="s">
        <v>2360</v>
      </c>
      <c r="EX138" t="s">
        <v>2340</v>
      </c>
      <c r="EY138" t="s">
        <v>2341</v>
      </c>
      <c r="EZ138" t="s">
        <v>813</v>
      </c>
      <c r="FA138">
        <v>53527</v>
      </c>
      <c r="FB138">
        <v>1295785079</v>
      </c>
    </row>
    <row r="139" spans="1:158" x14ac:dyDescent="0.2">
      <c r="A139" s="439">
        <v>1048</v>
      </c>
      <c r="B139" t="s">
        <v>1529</v>
      </c>
      <c r="C139" t="s">
        <v>1490</v>
      </c>
      <c r="D139" t="s">
        <v>1491</v>
      </c>
      <c r="E139" t="s">
        <v>1451</v>
      </c>
      <c r="F139" t="s">
        <v>1453</v>
      </c>
      <c r="G139" t="s">
        <v>992</v>
      </c>
      <c r="H139" s="576">
        <v>58078</v>
      </c>
      <c r="I139"/>
      <c r="J139" t="s">
        <v>1491</v>
      </c>
      <c r="K139" t="s">
        <v>1451</v>
      </c>
      <c r="L139" t="s">
        <v>1452</v>
      </c>
      <c r="M139" t="s">
        <v>1453</v>
      </c>
      <c r="N139" t="s">
        <v>992</v>
      </c>
      <c r="O139" s="576">
        <v>58078</v>
      </c>
      <c r="P139"/>
      <c r="Q139">
        <v>7012379073</v>
      </c>
      <c r="R139">
        <v>7012351582</v>
      </c>
      <c r="S139" t="s">
        <v>749</v>
      </c>
      <c r="T139" t="s">
        <v>749</v>
      </c>
      <c r="U139" t="s">
        <v>749</v>
      </c>
      <c r="V139" t="s">
        <v>1492</v>
      </c>
      <c r="W139" t="s">
        <v>1493</v>
      </c>
      <c r="X139" t="s">
        <v>1494</v>
      </c>
      <c r="Y139" t="s">
        <v>1495</v>
      </c>
      <c r="Z139" t="s">
        <v>1456</v>
      </c>
      <c r="AA139" t="s">
        <v>1496</v>
      </c>
      <c r="AB139">
        <v>7012973028</v>
      </c>
      <c r="AC139">
        <v>7012379073</v>
      </c>
      <c r="AD139">
        <v>7012351582</v>
      </c>
      <c r="AE139" t="s">
        <v>1492</v>
      </c>
      <c r="AF139" t="s">
        <v>1491</v>
      </c>
      <c r="AG139" t="s">
        <v>1451</v>
      </c>
      <c r="AH139" t="s">
        <v>1452</v>
      </c>
      <c r="AI139" t="s">
        <v>1453</v>
      </c>
      <c r="AJ139" t="s">
        <v>992</v>
      </c>
      <c r="AK139" s="576">
        <v>58078</v>
      </c>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t="s">
        <v>1494</v>
      </c>
      <c r="BR139" t="s">
        <v>1495</v>
      </c>
      <c r="BS139" t="s">
        <v>1456</v>
      </c>
      <c r="BT139" t="s">
        <v>1496</v>
      </c>
      <c r="BU139">
        <v>7012973028</v>
      </c>
      <c r="BV139">
        <v>7012379073</v>
      </c>
      <c r="BW139">
        <v>7012351582</v>
      </c>
      <c r="BX139" t="s">
        <v>1492</v>
      </c>
      <c r="BY139" t="s">
        <v>1491</v>
      </c>
      <c r="BZ139" t="s">
        <v>1451</v>
      </c>
      <c r="CA139" t="s">
        <v>1452</v>
      </c>
      <c r="CB139" t="s">
        <v>1453</v>
      </c>
      <c r="CC139" t="s">
        <v>992</v>
      </c>
      <c r="CD139" s="576">
        <v>58078</v>
      </c>
      <c r="CE139"/>
      <c r="CF139" t="s">
        <v>1497</v>
      </c>
      <c r="CG139" t="s">
        <v>1496</v>
      </c>
      <c r="CH139" t="s">
        <v>141</v>
      </c>
      <c r="CI139"/>
      <c r="CJ139"/>
      <c r="CK139"/>
      <c r="CL139"/>
      <c r="CM139">
        <v>1972553758</v>
      </c>
      <c r="CN139">
        <v>244</v>
      </c>
      <c r="CO139">
        <v>143</v>
      </c>
      <c r="CP139"/>
      <c r="CQ139"/>
      <c r="CR139">
        <v>143</v>
      </c>
      <c r="CS139" t="s">
        <v>788</v>
      </c>
      <c r="CT139">
        <v>12</v>
      </c>
      <c r="CU139"/>
      <c r="CV139"/>
      <c r="CW139"/>
      <c r="CX139"/>
      <c r="CY139"/>
      <c r="CZ139"/>
      <c r="DA139"/>
      <c r="DB139"/>
      <c r="DC139"/>
      <c r="DD139"/>
      <c r="DE139"/>
      <c r="DF139"/>
      <c r="DG139"/>
      <c r="DH139"/>
      <c r="DI139"/>
      <c r="DJ139"/>
      <c r="DK139"/>
      <c r="DL139"/>
      <c r="DM139"/>
      <c r="DN139"/>
      <c r="DO139"/>
      <c r="DP139"/>
      <c r="DQ139"/>
      <c r="DR139"/>
      <c r="DS139"/>
      <c r="DT139"/>
      <c r="DU139"/>
      <c r="DV139"/>
      <c r="DW139"/>
      <c r="DX139"/>
      <c r="DY139"/>
      <c r="DZ139"/>
      <c r="EA139"/>
      <c r="EB139"/>
      <c r="EC139"/>
      <c r="ED139"/>
      <c r="EE139"/>
      <c r="EF139"/>
      <c r="EG139"/>
      <c r="EH139"/>
      <c r="EI139"/>
      <c r="EJ139"/>
      <c r="EK139"/>
      <c r="EL139"/>
      <c r="EM139"/>
      <c r="EN139"/>
      <c r="EO139"/>
      <c r="EP139"/>
      <c r="EQ139"/>
      <c r="ER139">
        <v>63</v>
      </c>
      <c r="ES139"/>
      <c r="ET139"/>
      <c r="EU139"/>
      <c r="EV139" s="439">
        <v>1332</v>
      </c>
      <c r="EW139" t="s">
        <v>2361</v>
      </c>
      <c r="EX139" t="s">
        <v>2340</v>
      </c>
      <c r="EY139" t="s">
        <v>2341</v>
      </c>
      <c r="EZ139" t="s">
        <v>813</v>
      </c>
      <c r="FA139">
        <v>53527</v>
      </c>
      <c r="FB139">
        <v>1295785079</v>
      </c>
    </row>
    <row r="140" spans="1:158" x14ac:dyDescent="0.2">
      <c r="A140" s="439">
        <v>1137</v>
      </c>
      <c r="B140" t="s">
        <v>1530</v>
      </c>
      <c r="C140" t="s">
        <v>1490</v>
      </c>
      <c r="D140" t="s">
        <v>1491</v>
      </c>
      <c r="E140" t="s">
        <v>1451</v>
      </c>
      <c r="F140" t="s">
        <v>1453</v>
      </c>
      <c r="G140" t="s">
        <v>992</v>
      </c>
      <c r="H140" s="576">
        <v>58078</v>
      </c>
      <c r="I140"/>
      <c r="J140" t="s">
        <v>1491</v>
      </c>
      <c r="K140" t="s">
        <v>1451</v>
      </c>
      <c r="L140" t="s">
        <v>1452</v>
      </c>
      <c r="M140" t="s">
        <v>1453</v>
      </c>
      <c r="N140" t="s">
        <v>992</v>
      </c>
      <c r="O140" s="576">
        <v>58078</v>
      </c>
      <c r="P140"/>
      <c r="Q140">
        <v>7012379073</v>
      </c>
      <c r="R140">
        <v>7012351582</v>
      </c>
      <c r="S140" t="s">
        <v>749</v>
      </c>
      <c r="T140" t="s">
        <v>749</v>
      </c>
      <c r="U140" t="s">
        <v>749</v>
      </c>
      <c r="V140" t="s">
        <v>1492</v>
      </c>
      <c r="W140" t="s">
        <v>1493</v>
      </c>
      <c r="X140" t="s">
        <v>1494</v>
      </c>
      <c r="Y140" t="s">
        <v>1495</v>
      </c>
      <c r="Z140" t="s">
        <v>1456</v>
      </c>
      <c r="AA140" t="s">
        <v>1496</v>
      </c>
      <c r="AB140">
        <v>7012973028</v>
      </c>
      <c r="AC140">
        <v>7012379073</v>
      </c>
      <c r="AD140">
        <v>7012351582</v>
      </c>
      <c r="AE140" t="s">
        <v>1492</v>
      </c>
      <c r="AF140" t="s">
        <v>1491</v>
      </c>
      <c r="AG140" t="s">
        <v>1451</v>
      </c>
      <c r="AH140" t="s">
        <v>1452</v>
      </c>
      <c r="AI140" t="s">
        <v>1453</v>
      </c>
      <c r="AJ140" t="s">
        <v>992</v>
      </c>
      <c r="AK140" s="576">
        <v>58078</v>
      </c>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t="s">
        <v>1494</v>
      </c>
      <c r="BR140" t="s">
        <v>1495</v>
      </c>
      <c r="BS140" t="s">
        <v>1456</v>
      </c>
      <c r="BT140" t="s">
        <v>1496</v>
      </c>
      <c r="BU140">
        <v>7012973028</v>
      </c>
      <c r="BV140">
        <v>7012379073</v>
      </c>
      <c r="BW140">
        <v>7012351582</v>
      </c>
      <c r="BX140" t="s">
        <v>1492</v>
      </c>
      <c r="BY140" t="s">
        <v>1491</v>
      </c>
      <c r="BZ140" t="s">
        <v>1451</v>
      </c>
      <c r="CA140" t="s">
        <v>1452</v>
      </c>
      <c r="CB140" t="s">
        <v>1453</v>
      </c>
      <c r="CC140" t="s">
        <v>992</v>
      </c>
      <c r="CD140" s="576">
        <v>58078</v>
      </c>
      <c r="CE140"/>
      <c r="CF140" t="s">
        <v>1497</v>
      </c>
      <c r="CG140" t="s">
        <v>1496</v>
      </c>
      <c r="CH140" t="s">
        <v>141</v>
      </c>
      <c r="CI140"/>
      <c r="CJ140"/>
      <c r="CK140"/>
      <c r="CL140"/>
      <c r="CM140">
        <v>1972553758</v>
      </c>
      <c r="CN140">
        <v>244</v>
      </c>
      <c r="CO140">
        <v>143</v>
      </c>
      <c r="CP140"/>
      <c r="CQ140"/>
      <c r="CR140">
        <v>143</v>
      </c>
      <c r="CS140" t="s">
        <v>788</v>
      </c>
      <c r="CT140">
        <v>12</v>
      </c>
      <c r="CU140"/>
      <c r="CV140"/>
      <c r="CW140"/>
      <c r="CX140"/>
      <c r="CY140"/>
      <c r="CZ140"/>
      <c r="DA140"/>
      <c r="DB140"/>
      <c r="DC140"/>
      <c r="DD140"/>
      <c r="DE140"/>
      <c r="DF140"/>
      <c r="DG140"/>
      <c r="DH140"/>
      <c r="DI140"/>
      <c r="DJ140"/>
      <c r="DK140"/>
      <c r="DL140"/>
      <c r="DM140"/>
      <c r="DN140"/>
      <c r="DO140"/>
      <c r="DP140"/>
      <c r="DQ140"/>
      <c r="DR140"/>
      <c r="DS140"/>
      <c r="DT140"/>
      <c r="DU140"/>
      <c r="DV140"/>
      <c r="DW140"/>
      <c r="DX140"/>
      <c r="DY140"/>
      <c r="DZ140"/>
      <c r="EA140"/>
      <c r="EB140"/>
      <c r="EC140"/>
      <c r="ED140"/>
      <c r="EE140"/>
      <c r="EF140"/>
      <c r="EG140"/>
      <c r="EH140"/>
      <c r="EI140"/>
      <c r="EJ140"/>
      <c r="EK140"/>
      <c r="EL140"/>
      <c r="EM140"/>
      <c r="EN140"/>
      <c r="EO140"/>
      <c r="EP140"/>
      <c r="EQ140"/>
      <c r="ER140">
        <v>63</v>
      </c>
      <c r="ES140"/>
      <c r="ET140"/>
      <c r="EU140"/>
      <c r="EV140" s="439">
        <v>1333</v>
      </c>
      <c r="EW140" t="s">
        <v>2362</v>
      </c>
      <c r="EX140" t="s">
        <v>2340</v>
      </c>
      <c r="EY140" t="s">
        <v>2341</v>
      </c>
      <c r="EZ140" t="s">
        <v>813</v>
      </c>
      <c r="FA140">
        <v>53527</v>
      </c>
      <c r="FB140">
        <v>1295785079</v>
      </c>
    </row>
    <row r="141" spans="1:158" x14ac:dyDescent="0.2">
      <c r="A141" s="439">
        <v>1392</v>
      </c>
      <c r="B141" t="s">
        <v>1531</v>
      </c>
      <c r="C141" t="s">
        <v>1490</v>
      </c>
      <c r="D141" t="s">
        <v>1491</v>
      </c>
      <c r="E141" t="s">
        <v>1451</v>
      </c>
      <c r="F141" t="s">
        <v>1453</v>
      </c>
      <c r="G141" t="s">
        <v>992</v>
      </c>
      <c r="H141" s="576">
        <v>58078</v>
      </c>
      <c r="I141"/>
      <c r="J141" t="s">
        <v>1491</v>
      </c>
      <c r="K141" t="s">
        <v>1451</v>
      </c>
      <c r="L141" t="s">
        <v>1452</v>
      </c>
      <c r="M141" t="s">
        <v>1453</v>
      </c>
      <c r="N141" t="s">
        <v>992</v>
      </c>
      <c r="O141" s="576">
        <v>58078</v>
      </c>
      <c r="P141"/>
      <c r="Q141">
        <v>7012379073</v>
      </c>
      <c r="R141">
        <v>7012351582</v>
      </c>
      <c r="S141" t="s">
        <v>749</v>
      </c>
      <c r="T141" t="s">
        <v>749</v>
      </c>
      <c r="U141" t="s">
        <v>749</v>
      </c>
      <c r="V141" t="s">
        <v>1492</v>
      </c>
      <c r="W141" t="s">
        <v>1493</v>
      </c>
      <c r="X141" t="s">
        <v>1494</v>
      </c>
      <c r="Y141" t="s">
        <v>1495</v>
      </c>
      <c r="Z141" t="s">
        <v>1456</v>
      </c>
      <c r="AA141" t="s">
        <v>1496</v>
      </c>
      <c r="AB141">
        <v>7012973028</v>
      </c>
      <c r="AC141">
        <v>7012379073</v>
      </c>
      <c r="AD141">
        <v>7012351582</v>
      </c>
      <c r="AE141" t="s">
        <v>1492</v>
      </c>
      <c r="AF141" t="s">
        <v>1491</v>
      </c>
      <c r="AG141" t="s">
        <v>1451</v>
      </c>
      <c r="AH141" t="s">
        <v>1452</v>
      </c>
      <c r="AI141" t="s">
        <v>1453</v>
      </c>
      <c r="AJ141" t="s">
        <v>992</v>
      </c>
      <c r="AK141" s="576">
        <v>58078</v>
      </c>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t="s">
        <v>1494</v>
      </c>
      <c r="BR141" t="s">
        <v>1495</v>
      </c>
      <c r="BS141" t="s">
        <v>1456</v>
      </c>
      <c r="BT141" t="s">
        <v>1496</v>
      </c>
      <c r="BU141">
        <v>7012973028</v>
      </c>
      <c r="BV141">
        <v>7012379073</v>
      </c>
      <c r="BW141">
        <v>7012351582</v>
      </c>
      <c r="BX141" t="s">
        <v>1492</v>
      </c>
      <c r="BY141" t="s">
        <v>1491</v>
      </c>
      <c r="BZ141" t="s">
        <v>1451</v>
      </c>
      <c r="CA141" t="s">
        <v>1452</v>
      </c>
      <c r="CB141" t="s">
        <v>1453</v>
      </c>
      <c r="CC141" t="s">
        <v>992</v>
      </c>
      <c r="CD141" s="576">
        <v>58078</v>
      </c>
      <c r="CE141"/>
      <c r="CF141" t="s">
        <v>1497</v>
      </c>
      <c r="CG141" t="s">
        <v>1496</v>
      </c>
      <c r="CH141" t="s">
        <v>141</v>
      </c>
      <c r="CI141"/>
      <c r="CJ141"/>
      <c r="CK141"/>
      <c r="CL141"/>
      <c r="CM141">
        <v>1972553758</v>
      </c>
      <c r="CN141">
        <v>244</v>
      </c>
      <c r="CO141">
        <v>143</v>
      </c>
      <c r="CP141"/>
      <c r="CQ141"/>
      <c r="CR141">
        <v>143</v>
      </c>
      <c r="CS141" t="s">
        <v>788</v>
      </c>
      <c r="CT141">
        <v>12</v>
      </c>
      <c r="CU141"/>
      <c r="CV141"/>
      <c r="CW141"/>
      <c r="CX141"/>
      <c r="CY141"/>
      <c r="CZ141"/>
      <c r="DA141"/>
      <c r="DB141"/>
      <c r="DC141"/>
      <c r="DD141"/>
      <c r="DE141"/>
      <c r="DF141"/>
      <c r="DG141"/>
      <c r="DH141"/>
      <c r="DI141"/>
      <c r="DJ141"/>
      <c r="DK141"/>
      <c r="DL141"/>
      <c r="DM141"/>
      <c r="DN141"/>
      <c r="DO141"/>
      <c r="DP141"/>
      <c r="DQ141"/>
      <c r="DR141"/>
      <c r="DS141"/>
      <c r="DT141"/>
      <c r="DU141"/>
      <c r="DV141"/>
      <c r="DW141"/>
      <c r="DX141"/>
      <c r="DY141"/>
      <c r="DZ141"/>
      <c r="EA141"/>
      <c r="EB141"/>
      <c r="EC141"/>
      <c r="ED141"/>
      <c r="EE141"/>
      <c r="EF141"/>
      <c r="EG141"/>
      <c r="EH141"/>
      <c r="EI141"/>
      <c r="EJ141"/>
      <c r="EK141"/>
      <c r="EL141"/>
      <c r="EM141"/>
      <c r="EN141"/>
      <c r="EO141"/>
      <c r="EP141"/>
      <c r="EQ141"/>
      <c r="ER141">
        <v>63</v>
      </c>
      <c r="ES141"/>
      <c r="ET141"/>
      <c r="EU141"/>
      <c r="EV141" s="439">
        <v>1697</v>
      </c>
      <c r="EW141" t="s">
        <v>2363</v>
      </c>
      <c r="EX141" t="s">
        <v>2340</v>
      </c>
      <c r="EY141" t="s">
        <v>2341</v>
      </c>
      <c r="EZ141" t="s">
        <v>813</v>
      </c>
      <c r="FA141">
        <v>53527</v>
      </c>
      <c r="FB141">
        <v>1295785079</v>
      </c>
    </row>
    <row r="142" spans="1:158" x14ac:dyDescent="0.2">
      <c r="A142" s="439">
        <v>1848</v>
      </c>
      <c r="B142" t="s">
        <v>1532</v>
      </c>
      <c r="C142" t="s">
        <v>1490</v>
      </c>
      <c r="D142" t="s">
        <v>1491</v>
      </c>
      <c r="E142" t="s">
        <v>1451</v>
      </c>
      <c r="F142" t="s">
        <v>1453</v>
      </c>
      <c r="G142" t="s">
        <v>992</v>
      </c>
      <c r="H142" s="576">
        <v>58078</v>
      </c>
      <c r="I142"/>
      <c r="J142" t="s">
        <v>1491</v>
      </c>
      <c r="K142" t="s">
        <v>1451</v>
      </c>
      <c r="L142" t="s">
        <v>1452</v>
      </c>
      <c r="M142" t="s">
        <v>1453</v>
      </c>
      <c r="N142" t="s">
        <v>992</v>
      </c>
      <c r="O142" s="576">
        <v>58078</v>
      </c>
      <c r="P142"/>
      <c r="Q142">
        <v>7012379073</v>
      </c>
      <c r="R142">
        <v>7012351582</v>
      </c>
      <c r="S142" t="s">
        <v>749</v>
      </c>
      <c r="T142" t="s">
        <v>749</v>
      </c>
      <c r="U142" t="s">
        <v>749</v>
      </c>
      <c r="V142" t="s">
        <v>1492</v>
      </c>
      <c r="W142" t="s">
        <v>1493</v>
      </c>
      <c r="X142" t="s">
        <v>1494</v>
      </c>
      <c r="Y142" t="s">
        <v>1495</v>
      </c>
      <c r="Z142" t="s">
        <v>1456</v>
      </c>
      <c r="AA142" t="s">
        <v>1496</v>
      </c>
      <c r="AB142">
        <v>7012973028</v>
      </c>
      <c r="AC142">
        <v>7012379073</v>
      </c>
      <c r="AD142">
        <v>7012351582</v>
      </c>
      <c r="AE142" t="s">
        <v>1492</v>
      </c>
      <c r="AF142" t="s">
        <v>1491</v>
      </c>
      <c r="AG142" t="s">
        <v>1451</v>
      </c>
      <c r="AH142" t="s">
        <v>1452</v>
      </c>
      <c r="AI142" t="s">
        <v>1453</v>
      </c>
      <c r="AJ142" t="s">
        <v>992</v>
      </c>
      <c r="AK142" s="576">
        <v>58078</v>
      </c>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t="s">
        <v>1494</v>
      </c>
      <c r="BR142" t="s">
        <v>1495</v>
      </c>
      <c r="BS142" t="s">
        <v>1456</v>
      </c>
      <c r="BT142" t="s">
        <v>1496</v>
      </c>
      <c r="BU142">
        <v>7012973028</v>
      </c>
      <c r="BV142">
        <v>7012379073</v>
      </c>
      <c r="BW142">
        <v>7012351582</v>
      </c>
      <c r="BX142" t="s">
        <v>1492</v>
      </c>
      <c r="BY142" t="s">
        <v>1491</v>
      </c>
      <c r="BZ142" t="s">
        <v>1451</v>
      </c>
      <c r="CA142" t="s">
        <v>1452</v>
      </c>
      <c r="CB142" t="s">
        <v>1453</v>
      </c>
      <c r="CC142" t="s">
        <v>992</v>
      </c>
      <c r="CD142" s="576">
        <v>58078</v>
      </c>
      <c r="CE142"/>
      <c r="CF142" t="s">
        <v>1497</v>
      </c>
      <c r="CG142" t="s">
        <v>1496</v>
      </c>
      <c r="CH142" t="s">
        <v>141</v>
      </c>
      <c r="CI142"/>
      <c r="CJ142"/>
      <c r="CK142"/>
      <c r="CL142"/>
      <c r="CM142">
        <v>1972553758</v>
      </c>
      <c r="CN142">
        <v>244</v>
      </c>
      <c r="CO142">
        <v>143</v>
      </c>
      <c r="CP142"/>
      <c r="CQ142"/>
      <c r="CR142">
        <v>143</v>
      </c>
      <c r="CS142" t="s">
        <v>788</v>
      </c>
      <c r="CT142">
        <v>12</v>
      </c>
      <c r="CU142"/>
      <c r="CV142"/>
      <c r="CW142"/>
      <c r="CX142"/>
      <c r="CY142"/>
      <c r="CZ142"/>
      <c r="DA142"/>
      <c r="DB142"/>
      <c r="DC142"/>
      <c r="DD142"/>
      <c r="DE142"/>
      <c r="DF142"/>
      <c r="DG142"/>
      <c r="DH142"/>
      <c r="DI142"/>
      <c r="DJ142"/>
      <c r="DK142"/>
      <c r="DL142"/>
      <c r="DM142"/>
      <c r="DN142"/>
      <c r="DO142"/>
      <c r="DP142"/>
      <c r="DQ142"/>
      <c r="DR142"/>
      <c r="DS142"/>
      <c r="DT142"/>
      <c r="DU142"/>
      <c r="DV142"/>
      <c r="DW142"/>
      <c r="DX142"/>
      <c r="DY142"/>
      <c r="DZ142"/>
      <c r="EA142"/>
      <c r="EB142"/>
      <c r="EC142"/>
      <c r="ED142"/>
      <c r="EE142"/>
      <c r="EF142"/>
      <c r="EG142"/>
      <c r="EH142"/>
      <c r="EI142"/>
      <c r="EJ142"/>
      <c r="EK142"/>
      <c r="EL142"/>
      <c r="EM142"/>
      <c r="EN142"/>
      <c r="EO142"/>
      <c r="EP142"/>
      <c r="EQ142"/>
      <c r="ER142">
        <v>63</v>
      </c>
      <c r="ES142"/>
      <c r="ET142"/>
      <c r="EU142"/>
      <c r="EV142" s="439">
        <v>1051</v>
      </c>
      <c r="EW142" t="s">
        <v>2364</v>
      </c>
      <c r="EX142" t="s">
        <v>2340</v>
      </c>
      <c r="EY142" t="s">
        <v>2341</v>
      </c>
      <c r="EZ142" t="s">
        <v>813</v>
      </c>
      <c r="FA142">
        <v>53527</v>
      </c>
      <c r="FB142">
        <v>1295785079</v>
      </c>
    </row>
    <row r="143" spans="1:158" x14ac:dyDescent="0.2">
      <c r="A143" s="439">
        <v>1849</v>
      </c>
      <c r="B143" t="s">
        <v>1533</v>
      </c>
      <c r="C143" t="s">
        <v>1490</v>
      </c>
      <c r="D143" t="s">
        <v>1491</v>
      </c>
      <c r="E143" t="s">
        <v>1451</v>
      </c>
      <c r="F143" t="s">
        <v>1453</v>
      </c>
      <c r="G143" t="s">
        <v>992</v>
      </c>
      <c r="H143" s="576">
        <v>58078</v>
      </c>
      <c r="I143"/>
      <c r="J143" t="s">
        <v>1491</v>
      </c>
      <c r="K143" t="s">
        <v>1451</v>
      </c>
      <c r="L143" t="s">
        <v>1452</v>
      </c>
      <c r="M143" t="s">
        <v>1453</v>
      </c>
      <c r="N143" t="s">
        <v>992</v>
      </c>
      <c r="O143" s="576">
        <v>58078</v>
      </c>
      <c r="P143"/>
      <c r="Q143">
        <v>7012379073</v>
      </c>
      <c r="R143">
        <v>7012351582</v>
      </c>
      <c r="S143" t="s">
        <v>749</v>
      </c>
      <c r="T143" t="s">
        <v>749</v>
      </c>
      <c r="U143" t="s">
        <v>749</v>
      </c>
      <c r="V143" t="s">
        <v>1492</v>
      </c>
      <c r="W143" t="s">
        <v>1493</v>
      </c>
      <c r="X143" t="s">
        <v>1494</v>
      </c>
      <c r="Y143" t="s">
        <v>1495</v>
      </c>
      <c r="Z143" t="s">
        <v>1456</v>
      </c>
      <c r="AA143" t="s">
        <v>1496</v>
      </c>
      <c r="AB143">
        <v>7012973028</v>
      </c>
      <c r="AC143">
        <v>7012379073</v>
      </c>
      <c r="AD143">
        <v>7012351582</v>
      </c>
      <c r="AE143" t="s">
        <v>1492</v>
      </c>
      <c r="AF143" t="s">
        <v>1491</v>
      </c>
      <c r="AG143" t="s">
        <v>1451</v>
      </c>
      <c r="AH143" t="s">
        <v>1452</v>
      </c>
      <c r="AI143" t="s">
        <v>1453</v>
      </c>
      <c r="AJ143" t="s">
        <v>992</v>
      </c>
      <c r="AK143" s="576">
        <v>58078</v>
      </c>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t="s">
        <v>1494</v>
      </c>
      <c r="BR143" t="s">
        <v>1495</v>
      </c>
      <c r="BS143" t="s">
        <v>1456</v>
      </c>
      <c r="BT143" t="s">
        <v>1496</v>
      </c>
      <c r="BU143">
        <v>7012973028</v>
      </c>
      <c r="BV143">
        <v>7012379073</v>
      </c>
      <c r="BW143">
        <v>7012351582</v>
      </c>
      <c r="BX143" t="s">
        <v>1492</v>
      </c>
      <c r="BY143" t="s">
        <v>1491</v>
      </c>
      <c r="BZ143" t="s">
        <v>1451</v>
      </c>
      <c r="CA143" t="s">
        <v>1452</v>
      </c>
      <c r="CB143" t="s">
        <v>1453</v>
      </c>
      <c r="CC143" t="s">
        <v>992</v>
      </c>
      <c r="CD143" s="576">
        <v>58078</v>
      </c>
      <c r="CE143"/>
      <c r="CF143" t="s">
        <v>1497</v>
      </c>
      <c r="CG143" t="s">
        <v>1496</v>
      </c>
      <c r="CH143" t="s">
        <v>141</v>
      </c>
      <c r="CI143"/>
      <c r="CJ143"/>
      <c r="CK143"/>
      <c r="CL143"/>
      <c r="CM143">
        <v>1972553758</v>
      </c>
      <c r="CN143">
        <v>244</v>
      </c>
      <c r="CO143">
        <v>143</v>
      </c>
      <c r="CP143"/>
      <c r="CQ143"/>
      <c r="CR143">
        <v>143</v>
      </c>
      <c r="CS143" t="s">
        <v>788</v>
      </c>
      <c r="CT143">
        <v>12</v>
      </c>
      <c r="CU143"/>
      <c r="CV143"/>
      <c r="CW143"/>
      <c r="CX143"/>
      <c r="CY143"/>
      <c r="CZ143"/>
      <c r="DA143"/>
      <c r="DB143"/>
      <c r="DC143"/>
      <c r="DD143"/>
      <c r="DE143"/>
      <c r="DF143"/>
      <c r="DG143"/>
      <c r="DH143"/>
      <c r="DI143"/>
      <c r="DJ143"/>
      <c r="DK143"/>
      <c r="DL143"/>
      <c r="DM143"/>
      <c r="DN143"/>
      <c r="DO143"/>
      <c r="DP143"/>
      <c r="DQ143"/>
      <c r="DR143"/>
      <c r="DS143"/>
      <c r="DT143"/>
      <c r="DU143"/>
      <c r="DV143"/>
      <c r="DW143"/>
      <c r="DX143"/>
      <c r="DY143"/>
      <c r="DZ143"/>
      <c r="EA143"/>
      <c r="EB143"/>
      <c r="EC143"/>
      <c r="ED143"/>
      <c r="EE143"/>
      <c r="EF143"/>
      <c r="EG143"/>
      <c r="EH143"/>
      <c r="EI143"/>
      <c r="EJ143"/>
      <c r="EK143"/>
      <c r="EL143"/>
      <c r="EM143"/>
      <c r="EN143"/>
      <c r="EO143"/>
      <c r="EP143"/>
      <c r="EQ143"/>
      <c r="ER143">
        <v>63</v>
      </c>
      <c r="ES143"/>
      <c r="ET143"/>
      <c r="EU143"/>
      <c r="EV143" s="439">
        <v>1413</v>
      </c>
      <c r="EW143" t="s">
        <v>2365</v>
      </c>
      <c r="EX143" t="s">
        <v>2340</v>
      </c>
      <c r="EY143" t="s">
        <v>2341</v>
      </c>
      <c r="EZ143" t="s">
        <v>813</v>
      </c>
      <c r="FA143">
        <v>53527</v>
      </c>
      <c r="FB143">
        <v>1295785079</v>
      </c>
    </row>
    <row r="144" spans="1:158" x14ac:dyDescent="0.2">
      <c r="A144" s="439">
        <v>917</v>
      </c>
      <c r="B144" t="s">
        <v>1534</v>
      </c>
      <c r="C144" t="s">
        <v>1490</v>
      </c>
      <c r="D144" t="s">
        <v>1491</v>
      </c>
      <c r="E144" t="s">
        <v>1451</v>
      </c>
      <c r="F144" t="s">
        <v>1453</v>
      </c>
      <c r="G144" t="s">
        <v>992</v>
      </c>
      <c r="H144" s="576">
        <v>58078</v>
      </c>
      <c r="I144"/>
      <c r="J144" t="s">
        <v>1491</v>
      </c>
      <c r="K144" t="s">
        <v>1451</v>
      </c>
      <c r="L144" t="s">
        <v>1452</v>
      </c>
      <c r="M144" t="s">
        <v>1453</v>
      </c>
      <c r="N144" t="s">
        <v>992</v>
      </c>
      <c r="O144" s="576">
        <v>58078</v>
      </c>
      <c r="P144"/>
      <c r="Q144">
        <v>7012379073</v>
      </c>
      <c r="R144">
        <v>7012973077</v>
      </c>
      <c r="S144" t="s">
        <v>749</v>
      </c>
      <c r="T144" t="s">
        <v>749</v>
      </c>
      <c r="U144" t="s">
        <v>749</v>
      </c>
      <c r="V144" t="s">
        <v>1492</v>
      </c>
      <c r="W144" t="s">
        <v>1493</v>
      </c>
      <c r="X144" t="s">
        <v>1494</v>
      </c>
      <c r="Y144" t="s">
        <v>1495</v>
      </c>
      <c r="Z144" t="s">
        <v>1456</v>
      </c>
      <c r="AA144" t="s">
        <v>1496</v>
      </c>
      <c r="AB144">
        <v>7012973028</v>
      </c>
      <c r="AC144">
        <v>7012379073</v>
      </c>
      <c r="AD144">
        <v>7012351582</v>
      </c>
      <c r="AE144" t="s">
        <v>1492</v>
      </c>
      <c r="AF144" t="s">
        <v>1491</v>
      </c>
      <c r="AG144" t="s">
        <v>1451</v>
      </c>
      <c r="AH144" t="s">
        <v>1452</v>
      </c>
      <c r="AI144" t="s">
        <v>1453</v>
      </c>
      <c r="AJ144" t="s">
        <v>992</v>
      </c>
      <c r="AK144" s="576">
        <v>58078</v>
      </c>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t="s">
        <v>1494</v>
      </c>
      <c r="BR144" t="s">
        <v>1495</v>
      </c>
      <c r="BS144" t="s">
        <v>1456</v>
      </c>
      <c r="BT144" t="s">
        <v>1496</v>
      </c>
      <c r="BU144">
        <v>7012973028</v>
      </c>
      <c r="BV144">
        <v>7012379073</v>
      </c>
      <c r="BW144">
        <v>7012351582</v>
      </c>
      <c r="BX144" t="s">
        <v>1492</v>
      </c>
      <c r="BY144" t="s">
        <v>1491</v>
      </c>
      <c r="BZ144" t="s">
        <v>1451</v>
      </c>
      <c r="CA144" t="s">
        <v>1452</v>
      </c>
      <c r="CB144" t="s">
        <v>1453</v>
      </c>
      <c r="CC144" t="s">
        <v>992</v>
      </c>
      <c r="CD144" s="576">
        <v>58078</v>
      </c>
      <c r="CE144"/>
      <c r="CF144" t="s">
        <v>1497</v>
      </c>
      <c r="CG144" t="s">
        <v>1496</v>
      </c>
      <c r="CH144" t="s">
        <v>141</v>
      </c>
      <c r="CI144"/>
      <c r="CJ144"/>
      <c r="CK144"/>
      <c r="CL144"/>
      <c r="CM144">
        <v>1972553758</v>
      </c>
      <c r="CN144">
        <v>244</v>
      </c>
      <c r="CO144">
        <v>143</v>
      </c>
      <c r="CP144"/>
      <c r="CQ144"/>
      <c r="CR144">
        <v>143</v>
      </c>
      <c r="CS144" t="s">
        <v>788</v>
      </c>
      <c r="CT144">
        <v>12</v>
      </c>
      <c r="CU144"/>
      <c r="CV144"/>
      <c r="CW144"/>
      <c r="CX144"/>
      <c r="CY144"/>
      <c r="CZ144"/>
      <c r="DA144"/>
      <c r="DB144"/>
      <c r="DC144"/>
      <c r="DD144"/>
      <c r="DE144"/>
      <c r="DF144"/>
      <c r="DG144"/>
      <c r="DH144"/>
      <c r="DI144"/>
      <c r="DJ144"/>
      <c r="DK144"/>
      <c r="DL144"/>
      <c r="DM144"/>
      <c r="DN144"/>
      <c r="DO144"/>
      <c r="DP144"/>
      <c r="DQ144"/>
      <c r="DR144"/>
      <c r="DS144"/>
      <c r="DT144"/>
      <c r="DU144"/>
      <c r="DV144"/>
      <c r="DW144"/>
      <c r="DX144"/>
      <c r="DY144"/>
      <c r="DZ144"/>
      <c r="EA144"/>
      <c r="EB144"/>
      <c r="EC144"/>
      <c r="ED144"/>
      <c r="EE144"/>
      <c r="EF144"/>
      <c r="EG144"/>
      <c r="EH144"/>
      <c r="EI144"/>
      <c r="EJ144"/>
      <c r="EK144"/>
      <c r="EL144"/>
      <c r="EM144"/>
      <c r="EN144"/>
      <c r="EO144"/>
      <c r="EP144"/>
      <c r="EQ144"/>
      <c r="ER144">
        <v>63</v>
      </c>
      <c r="ES144"/>
      <c r="ET144"/>
      <c r="EU144"/>
      <c r="EV144" s="439">
        <v>1052</v>
      </c>
      <c r="EW144" t="s">
        <v>2366</v>
      </c>
      <c r="EX144" t="s">
        <v>2340</v>
      </c>
      <c r="EY144" t="s">
        <v>2341</v>
      </c>
      <c r="EZ144" t="s">
        <v>813</v>
      </c>
      <c r="FA144">
        <v>53527</v>
      </c>
      <c r="FB144">
        <v>1295785079</v>
      </c>
    </row>
    <row r="145" spans="1:158" x14ac:dyDescent="0.2">
      <c r="A145" s="439">
        <v>1012</v>
      </c>
      <c r="B145" t="s">
        <v>1535</v>
      </c>
      <c r="C145" t="s">
        <v>1490</v>
      </c>
      <c r="D145" t="s">
        <v>1491</v>
      </c>
      <c r="E145" t="s">
        <v>1451</v>
      </c>
      <c r="F145" t="s">
        <v>1453</v>
      </c>
      <c r="G145" t="s">
        <v>992</v>
      </c>
      <c r="H145" s="576">
        <v>58078</v>
      </c>
      <c r="I145"/>
      <c r="J145" t="s">
        <v>1491</v>
      </c>
      <c r="K145" t="s">
        <v>1451</v>
      </c>
      <c r="L145" t="s">
        <v>1452</v>
      </c>
      <c r="M145" t="s">
        <v>1453</v>
      </c>
      <c r="N145" t="s">
        <v>992</v>
      </c>
      <c r="O145" s="576">
        <v>58078</v>
      </c>
      <c r="P145"/>
      <c r="Q145">
        <v>7012379073</v>
      </c>
      <c r="R145">
        <v>7012351582</v>
      </c>
      <c r="S145" t="s">
        <v>749</v>
      </c>
      <c r="T145" t="s">
        <v>749</v>
      </c>
      <c r="U145" t="s">
        <v>749</v>
      </c>
      <c r="V145" t="s">
        <v>1492</v>
      </c>
      <c r="W145" t="s">
        <v>1493</v>
      </c>
      <c r="X145" t="s">
        <v>1494</v>
      </c>
      <c r="Y145" t="s">
        <v>1495</v>
      </c>
      <c r="Z145" t="s">
        <v>1456</v>
      </c>
      <c r="AA145" t="s">
        <v>1496</v>
      </c>
      <c r="AB145">
        <v>7012973028</v>
      </c>
      <c r="AC145">
        <v>7012379073</v>
      </c>
      <c r="AD145">
        <v>7012351582</v>
      </c>
      <c r="AE145" t="s">
        <v>1492</v>
      </c>
      <c r="AF145" t="s">
        <v>1491</v>
      </c>
      <c r="AG145" t="s">
        <v>1451</v>
      </c>
      <c r="AH145" t="s">
        <v>1452</v>
      </c>
      <c r="AI145" t="s">
        <v>1453</v>
      </c>
      <c r="AJ145" t="s">
        <v>992</v>
      </c>
      <c r="AK145" s="576">
        <v>58078</v>
      </c>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t="s">
        <v>1494</v>
      </c>
      <c r="BR145" t="s">
        <v>1495</v>
      </c>
      <c r="BS145" t="s">
        <v>1456</v>
      </c>
      <c r="BT145" t="s">
        <v>1496</v>
      </c>
      <c r="BU145">
        <v>7012973028</v>
      </c>
      <c r="BV145">
        <v>7012379073</v>
      </c>
      <c r="BW145">
        <v>7012351582</v>
      </c>
      <c r="BX145" t="s">
        <v>1492</v>
      </c>
      <c r="BY145" t="s">
        <v>1491</v>
      </c>
      <c r="BZ145" t="s">
        <v>1451</v>
      </c>
      <c r="CA145" t="s">
        <v>1452</v>
      </c>
      <c r="CB145" t="s">
        <v>1453</v>
      </c>
      <c r="CC145" t="s">
        <v>992</v>
      </c>
      <c r="CD145" s="576">
        <v>58078</v>
      </c>
      <c r="CE145"/>
      <c r="CF145" t="s">
        <v>1497</v>
      </c>
      <c r="CG145" t="s">
        <v>1496</v>
      </c>
      <c r="CH145" t="s">
        <v>141</v>
      </c>
      <c r="CI145"/>
      <c r="CJ145"/>
      <c r="CK145"/>
      <c r="CL145"/>
      <c r="CM145">
        <v>1972553758</v>
      </c>
      <c r="CN145">
        <v>244</v>
      </c>
      <c r="CO145">
        <v>143</v>
      </c>
      <c r="CP145"/>
      <c r="CQ145"/>
      <c r="CR145">
        <v>143</v>
      </c>
      <c r="CS145" t="s">
        <v>788</v>
      </c>
      <c r="CT145">
        <v>12</v>
      </c>
      <c r="CU145"/>
      <c r="CV145"/>
      <c r="CW145"/>
      <c r="CX145"/>
      <c r="CY145"/>
      <c r="CZ145"/>
      <c r="DA145"/>
      <c r="DB145"/>
      <c r="DC145"/>
      <c r="DD145"/>
      <c r="DE145"/>
      <c r="DF145"/>
      <c r="DG145"/>
      <c r="DH145"/>
      <c r="DI145"/>
      <c r="DJ145"/>
      <c r="DK145"/>
      <c r="DL145"/>
      <c r="DM145"/>
      <c r="DN145"/>
      <c r="DO145"/>
      <c r="DP145"/>
      <c r="DQ145"/>
      <c r="DR145"/>
      <c r="DS145"/>
      <c r="DT145"/>
      <c r="DU145"/>
      <c r="DV145"/>
      <c r="DW145"/>
      <c r="DX145"/>
      <c r="DY145"/>
      <c r="DZ145"/>
      <c r="EA145"/>
      <c r="EB145"/>
      <c r="EC145"/>
      <c r="ED145"/>
      <c r="EE145"/>
      <c r="EF145"/>
      <c r="EG145"/>
      <c r="EH145"/>
      <c r="EI145"/>
      <c r="EJ145"/>
      <c r="EK145"/>
      <c r="EL145"/>
      <c r="EM145"/>
      <c r="EN145"/>
      <c r="EO145"/>
      <c r="EP145"/>
      <c r="EQ145"/>
      <c r="ER145">
        <v>63</v>
      </c>
      <c r="ES145"/>
      <c r="ET145"/>
      <c r="EU145"/>
      <c r="EV145" s="439">
        <v>1771</v>
      </c>
      <c r="EW145" t="s">
        <v>2367</v>
      </c>
      <c r="EX145" t="s">
        <v>2340</v>
      </c>
      <c r="EY145" t="s">
        <v>2341</v>
      </c>
      <c r="EZ145" t="s">
        <v>813</v>
      </c>
      <c r="FA145">
        <v>53527</v>
      </c>
      <c r="FB145">
        <v>1295785079</v>
      </c>
    </row>
    <row r="146" spans="1:158" x14ac:dyDescent="0.2">
      <c r="A146" s="439">
        <v>979</v>
      </c>
      <c r="B146" t="s">
        <v>1536</v>
      </c>
      <c r="C146" t="s">
        <v>1490</v>
      </c>
      <c r="D146" t="s">
        <v>1491</v>
      </c>
      <c r="E146" t="s">
        <v>1451</v>
      </c>
      <c r="F146" t="s">
        <v>1453</v>
      </c>
      <c r="G146" t="s">
        <v>992</v>
      </c>
      <c r="H146" s="576">
        <v>58078</v>
      </c>
      <c r="I146"/>
      <c r="J146" t="s">
        <v>1491</v>
      </c>
      <c r="K146" t="s">
        <v>1451</v>
      </c>
      <c r="L146" t="s">
        <v>1452</v>
      </c>
      <c r="M146" t="s">
        <v>1453</v>
      </c>
      <c r="N146" t="s">
        <v>992</v>
      </c>
      <c r="O146" s="576">
        <v>58078</v>
      </c>
      <c r="P146"/>
      <c r="Q146">
        <v>7012379073</v>
      </c>
      <c r="R146">
        <v>7012351582</v>
      </c>
      <c r="S146" t="s">
        <v>749</v>
      </c>
      <c r="T146" t="s">
        <v>749</v>
      </c>
      <c r="U146" t="s">
        <v>749</v>
      </c>
      <c r="V146" t="s">
        <v>1492</v>
      </c>
      <c r="W146" t="s">
        <v>1493</v>
      </c>
      <c r="X146" t="s">
        <v>1494</v>
      </c>
      <c r="Y146" t="s">
        <v>1495</v>
      </c>
      <c r="Z146" t="s">
        <v>1456</v>
      </c>
      <c r="AA146" t="s">
        <v>1496</v>
      </c>
      <c r="AB146">
        <v>7012973028</v>
      </c>
      <c r="AC146">
        <v>7012379073</v>
      </c>
      <c r="AD146">
        <v>7012351582</v>
      </c>
      <c r="AE146" t="s">
        <v>1492</v>
      </c>
      <c r="AF146" t="s">
        <v>1491</v>
      </c>
      <c r="AG146" t="s">
        <v>1451</v>
      </c>
      <c r="AH146" t="s">
        <v>1452</v>
      </c>
      <c r="AI146" t="s">
        <v>1453</v>
      </c>
      <c r="AJ146" t="s">
        <v>992</v>
      </c>
      <c r="AK146" s="576">
        <v>58078</v>
      </c>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t="s">
        <v>1494</v>
      </c>
      <c r="BR146" t="s">
        <v>1495</v>
      </c>
      <c r="BS146" t="s">
        <v>1456</v>
      </c>
      <c r="BT146" t="s">
        <v>1496</v>
      </c>
      <c r="BU146">
        <v>7012973028</v>
      </c>
      <c r="BV146">
        <v>7012379073</v>
      </c>
      <c r="BW146">
        <v>7012351582</v>
      </c>
      <c r="BX146" t="s">
        <v>1492</v>
      </c>
      <c r="BY146" t="s">
        <v>1491</v>
      </c>
      <c r="BZ146" t="s">
        <v>1451</v>
      </c>
      <c r="CA146" t="s">
        <v>1452</v>
      </c>
      <c r="CB146" t="s">
        <v>1453</v>
      </c>
      <c r="CC146" t="s">
        <v>992</v>
      </c>
      <c r="CD146" s="576">
        <v>58078</v>
      </c>
      <c r="CE146"/>
      <c r="CF146" t="s">
        <v>1497</v>
      </c>
      <c r="CG146" t="s">
        <v>1496</v>
      </c>
      <c r="CH146" t="s">
        <v>141</v>
      </c>
      <c r="CI146"/>
      <c r="CJ146"/>
      <c r="CK146"/>
      <c r="CL146"/>
      <c r="CM146">
        <v>1972553758</v>
      </c>
      <c r="CN146">
        <v>244</v>
      </c>
      <c r="CO146">
        <v>143</v>
      </c>
      <c r="CP146"/>
      <c r="CQ146"/>
      <c r="CR146">
        <v>143</v>
      </c>
      <c r="CS146" t="s">
        <v>788</v>
      </c>
      <c r="CT146">
        <v>12</v>
      </c>
      <c r="CU146"/>
      <c r="CV146"/>
      <c r="CW146"/>
      <c r="CX146"/>
      <c r="CY146"/>
      <c r="CZ146"/>
      <c r="DA146"/>
      <c r="DB146"/>
      <c r="DC146"/>
      <c r="DD146"/>
      <c r="DE146"/>
      <c r="DF146"/>
      <c r="DG146"/>
      <c r="DH146"/>
      <c r="DI146"/>
      <c r="DJ146"/>
      <c r="DK146"/>
      <c r="DL146"/>
      <c r="DM146"/>
      <c r="DN146"/>
      <c r="DO146"/>
      <c r="DP146"/>
      <c r="DQ146"/>
      <c r="DR146"/>
      <c r="DS146"/>
      <c r="DT146"/>
      <c r="DU146"/>
      <c r="DV146"/>
      <c r="DW146"/>
      <c r="DX146"/>
      <c r="DY146"/>
      <c r="DZ146"/>
      <c r="EA146"/>
      <c r="EB146"/>
      <c r="EC146"/>
      <c r="ED146"/>
      <c r="EE146"/>
      <c r="EF146"/>
      <c r="EG146"/>
      <c r="EH146"/>
      <c r="EI146"/>
      <c r="EJ146"/>
      <c r="EK146"/>
      <c r="EL146"/>
      <c r="EM146"/>
      <c r="EN146"/>
      <c r="EO146"/>
      <c r="EP146"/>
      <c r="EQ146"/>
      <c r="ER146">
        <v>63</v>
      </c>
      <c r="ES146"/>
      <c r="ET146"/>
      <c r="EU146"/>
      <c r="EV146" s="439">
        <v>1695</v>
      </c>
      <c r="EW146" t="s">
        <v>2368</v>
      </c>
      <c r="EX146" t="s">
        <v>2340</v>
      </c>
      <c r="EY146" t="s">
        <v>2341</v>
      </c>
      <c r="EZ146" t="s">
        <v>813</v>
      </c>
      <c r="FA146">
        <v>53527</v>
      </c>
      <c r="FB146">
        <v>1295785079</v>
      </c>
    </row>
    <row r="147" spans="1:158" x14ac:dyDescent="0.2">
      <c r="A147" s="439">
        <v>770</v>
      </c>
      <c r="B147" t="s">
        <v>1537</v>
      </c>
      <c r="C147" t="s">
        <v>1490</v>
      </c>
      <c r="D147" t="s">
        <v>1491</v>
      </c>
      <c r="E147" t="s">
        <v>1451</v>
      </c>
      <c r="F147" t="s">
        <v>1453</v>
      </c>
      <c r="G147" t="s">
        <v>992</v>
      </c>
      <c r="H147" s="576">
        <v>58078</v>
      </c>
      <c r="I147"/>
      <c r="J147" t="s">
        <v>1491</v>
      </c>
      <c r="K147" t="s">
        <v>1451</v>
      </c>
      <c r="L147" t="s">
        <v>1452</v>
      </c>
      <c r="M147" t="s">
        <v>1453</v>
      </c>
      <c r="N147" t="s">
        <v>992</v>
      </c>
      <c r="O147" s="576">
        <v>58078</v>
      </c>
      <c r="P147"/>
      <c r="Q147">
        <v>7012379073</v>
      </c>
      <c r="R147">
        <v>7012351582</v>
      </c>
      <c r="S147" t="s">
        <v>749</v>
      </c>
      <c r="T147" t="s">
        <v>749</v>
      </c>
      <c r="U147" t="s">
        <v>749</v>
      </c>
      <c r="V147" t="s">
        <v>1492</v>
      </c>
      <c r="W147" t="s">
        <v>1493</v>
      </c>
      <c r="X147" t="s">
        <v>1494</v>
      </c>
      <c r="Y147" t="s">
        <v>1495</v>
      </c>
      <c r="Z147" t="s">
        <v>1456</v>
      </c>
      <c r="AA147" t="s">
        <v>1496</v>
      </c>
      <c r="AB147">
        <v>7012973028</v>
      </c>
      <c r="AC147">
        <v>7012379073</v>
      </c>
      <c r="AD147">
        <v>7012351582</v>
      </c>
      <c r="AE147" t="s">
        <v>1492</v>
      </c>
      <c r="AF147" t="s">
        <v>1491</v>
      </c>
      <c r="AG147" t="s">
        <v>1451</v>
      </c>
      <c r="AH147" t="s">
        <v>1452</v>
      </c>
      <c r="AI147" t="s">
        <v>1453</v>
      </c>
      <c r="AJ147" t="s">
        <v>992</v>
      </c>
      <c r="AK147" s="576">
        <v>58078</v>
      </c>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t="s">
        <v>1494</v>
      </c>
      <c r="BR147" t="s">
        <v>1495</v>
      </c>
      <c r="BS147" t="s">
        <v>1456</v>
      </c>
      <c r="BT147" t="s">
        <v>1496</v>
      </c>
      <c r="BU147">
        <v>7012973028</v>
      </c>
      <c r="BV147">
        <v>7012379073</v>
      </c>
      <c r="BW147">
        <v>7012351582</v>
      </c>
      <c r="BX147" t="s">
        <v>1492</v>
      </c>
      <c r="BY147" t="s">
        <v>1491</v>
      </c>
      <c r="BZ147" t="s">
        <v>1451</v>
      </c>
      <c r="CA147" t="s">
        <v>1452</v>
      </c>
      <c r="CB147" t="s">
        <v>1453</v>
      </c>
      <c r="CC147" t="s">
        <v>992</v>
      </c>
      <c r="CD147" s="576">
        <v>58078</v>
      </c>
      <c r="CE147"/>
      <c r="CF147" t="s">
        <v>1497</v>
      </c>
      <c r="CG147" t="s">
        <v>1496</v>
      </c>
      <c r="CH147" t="s">
        <v>141</v>
      </c>
      <c r="CI147"/>
      <c r="CJ147"/>
      <c r="CK147"/>
      <c r="CL147"/>
      <c r="CM147">
        <v>1972553758</v>
      </c>
      <c r="CN147">
        <v>244</v>
      </c>
      <c r="CO147">
        <v>143</v>
      </c>
      <c r="CP147"/>
      <c r="CQ147"/>
      <c r="CR147">
        <v>143</v>
      </c>
      <c r="CS147" t="s">
        <v>788</v>
      </c>
      <c r="CT147">
        <v>12</v>
      </c>
      <c r="CU147"/>
      <c r="CV147"/>
      <c r="CW147"/>
      <c r="CX147"/>
      <c r="CY147"/>
      <c r="CZ147"/>
      <c r="DA147"/>
      <c r="DB147"/>
      <c r="DC147"/>
      <c r="DD147"/>
      <c r="DE147"/>
      <c r="DF147"/>
      <c r="DG147"/>
      <c r="DH147"/>
      <c r="DI147"/>
      <c r="DJ147"/>
      <c r="DK147"/>
      <c r="DL147"/>
      <c r="DM147"/>
      <c r="DN147"/>
      <c r="DO147"/>
      <c r="DP147"/>
      <c r="DQ147"/>
      <c r="DR147"/>
      <c r="DS147"/>
      <c r="DT147"/>
      <c r="DU147"/>
      <c r="DV147"/>
      <c r="DW147"/>
      <c r="DX147"/>
      <c r="DY147"/>
      <c r="DZ147"/>
      <c r="EA147"/>
      <c r="EB147"/>
      <c r="EC147"/>
      <c r="ED147"/>
      <c r="EE147"/>
      <c r="EF147"/>
      <c r="EG147"/>
      <c r="EH147"/>
      <c r="EI147"/>
      <c r="EJ147"/>
      <c r="EK147"/>
      <c r="EL147"/>
      <c r="EM147"/>
      <c r="EN147"/>
      <c r="EO147"/>
      <c r="EP147"/>
      <c r="EQ147"/>
      <c r="ER147">
        <v>63</v>
      </c>
      <c r="ES147"/>
      <c r="ET147"/>
      <c r="EU147"/>
      <c r="EV147" s="439">
        <v>1440</v>
      </c>
      <c r="EW147" t="s">
        <v>2369</v>
      </c>
      <c r="EX147" t="s">
        <v>2340</v>
      </c>
      <c r="EY147" t="s">
        <v>2341</v>
      </c>
      <c r="EZ147" t="s">
        <v>813</v>
      </c>
      <c r="FA147">
        <v>53527</v>
      </c>
      <c r="FB147">
        <v>1295785079</v>
      </c>
    </row>
    <row r="148" spans="1:158" x14ac:dyDescent="0.2">
      <c r="A148" s="439">
        <v>1780</v>
      </c>
      <c r="B148" t="s">
        <v>1538</v>
      </c>
      <c r="C148" t="s">
        <v>1490</v>
      </c>
      <c r="D148" t="s">
        <v>1491</v>
      </c>
      <c r="E148" t="s">
        <v>1451</v>
      </c>
      <c r="F148" t="s">
        <v>1453</v>
      </c>
      <c r="G148" t="s">
        <v>992</v>
      </c>
      <c r="H148" s="576">
        <v>58078</v>
      </c>
      <c r="I148"/>
      <c r="J148" t="s">
        <v>1491</v>
      </c>
      <c r="K148" t="s">
        <v>1451</v>
      </c>
      <c r="L148" t="s">
        <v>1452</v>
      </c>
      <c r="M148" t="s">
        <v>1453</v>
      </c>
      <c r="N148" t="s">
        <v>992</v>
      </c>
      <c r="O148" s="576">
        <v>58078</v>
      </c>
      <c r="P148"/>
      <c r="Q148">
        <v>7012379073</v>
      </c>
      <c r="R148">
        <v>7012973077</v>
      </c>
      <c r="S148" t="s">
        <v>749</v>
      </c>
      <c r="T148" t="s">
        <v>749</v>
      </c>
      <c r="U148" t="s">
        <v>749</v>
      </c>
      <c r="V148" t="s">
        <v>1492</v>
      </c>
      <c r="W148" t="s">
        <v>1493</v>
      </c>
      <c r="X148" t="s">
        <v>1494</v>
      </c>
      <c r="Y148" t="s">
        <v>1495</v>
      </c>
      <c r="Z148" t="s">
        <v>1456</v>
      </c>
      <c r="AA148" t="s">
        <v>1496</v>
      </c>
      <c r="AB148">
        <v>7012973028</v>
      </c>
      <c r="AC148">
        <v>7012379073</v>
      </c>
      <c r="AD148">
        <v>7012351582</v>
      </c>
      <c r="AE148" t="s">
        <v>1492</v>
      </c>
      <c r="AF148" t="s">
        <v>1491</v>
      </c>
      <c r="AG148" t="s">
        <v>1451</v>
      </c>
      <c r="AH148" t="s">
        <v>1452</v>
      </c>
      <c r="AI148" t="s">
        <v>1453</v>
      </c>
      <c r="AJ148" t="s">
        <v>992</v>
      </c>
      <c r="AK148" s="576">
        <v>58078</v>
      </c>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t="s">
        <v>1494</v>
      </c>
      <c r="BR148" t="s">
        <v>1495</v>
      </c>
      <c r="BS148" t="s">
        <v>1456</v>
      </c>
      <c r="BT148" t="s">
        <v>1496</v>
      </c>
      <c r="BU148">
        <v>7012973028</v>
      </c>
      <c r="BV148">
        <v>7012379073</v>
      </c>
      <c r="BW148">
        <v>7012351582</v>
      </c>
      <c r="BX148" t="s">
        <v>1492</v>
      </c>
      <c r="BY148" t="s">
        <v>1491</v>
      </c>
      <c r="BZ148" t="s">
        <v>1451</v>
      </c>
      <c r="CA148" t="s">
        <v>1452</v>
      </c>
      <c r="CB148" t="s">
        <v>1453</v>
      </c>
      <c r="CC148" t="s">
        <v>992</v>
      </c>
      <c r="CD148" s="576">
        <v>58078</v>
      </c>
      <c r="CE148"/>
      <c r="CF148" t="s">
        <v>1497</v>
      </c>
      <c r="CG148" t="s">
        <v>1496</v>
      </c>
      <c r="CH148" t="s">
        <v>141</v>
      </c>
      <c r="CI148"/>
      <c r="CJ148"/>
      <c r="CK148"/>
      <c r="CL148"/>
      <c r="CM148">
        <v>1972553758</v>
      </c>
      <c r="CN148">
        <v>244</v>
      </c>
      <c r="CO148">
        <v>143</v>
      </c>
      <c r="CP148"/>
      <c r="CQ148"/>
      <c r="CR148">
        <v>143</v>
      </c>
      <c r="CS148" t="s">
        <v>788</v>
      </c>
      <c r="CT148">
        <v>12</v>
      </c>
      <c r="CU148"/>
      <c r="CV148"/>
      <c r="CW148"/>
      <c r="CX148"/>
      <c r="CY148"/>
      <c r="CZ148"/>
      <c r="DA148"/>
      <c r="DB148"/>
      <c r="DC148"/>
      <c r="DD148"/>
      <c r="DE148"/>
      <c r="DF148"/>
      <c r="DG148"/>
      <c r="DH148"/>
      <c r="DI148"/>
      <c r="DJ148"/>
      <c r="DK148"/>
      <c r="DL148"/>
      <c r="DM148"/>
      <c r="DN148"/>
      <c r="DO148"/>
      <c r="DP148"/>
      <c r="DQ148"/>
      <c r="DR148"/>
      <c r="DS148"/>
      <c r="DT148"/>
      <c r="DU148"/>
      <c r="DV148"/>
      <c r="DW148"/>
      <c r="DX148"/>
      <c r="DY148"/>
      <c r="DZ148"/>
      <c r="EA148"/>
      <c r="EB148"/>
      <c r="EC148"/>
      <c r="ED148"/>
      <c r="EE148"/>
      <c r="EF148"/>
      <c r="EG148"/>
      <c r="EH148"/>
      <c r="EI148"/>
      <c r="EJ148"/>
      <c r="EK148"/>
      <c r="EL148"/>
      <c r="EM148"/>
      <c r="EN148"/>
      <c r="EO148"/>
      <c r="EP148"/>
      <c r="EQ148"/>
      <c r="ER148">
        <v>63</v>
      </c>
      <c r="ES148"/>
      <c r="ET148"/>
      <c r="EU148"/>
      <c r="EV148" s="439">
        <v>1696</v>
      </c>
      <c r="EW148" t="s">
        <v>2370</v>
      </c>
      <c r="EX148" t="s">
        <v>2340</v>
      </c>
      <c r="EY148" t="s">
        <v>2341</v>
      </c>
      <c r="EZ148" t="s">
        <v>813</v>
      </c>
      <c r="FA148">
        <v>53527</v>
      </c>
      <c r="FB148">
        <v>1295785079</v>
      </c>
    </row>
    <row r="149" spans="1:158" x14ac:dyDescent="0.2">
      <c r="A149" s="439">
        <v>1678</v>
      </c>
      <c r="B149" t="s">
        <v>1539</v>
      </c>
      <c r="C149" t="s">
        <v>1490</v>
      </c>
      <c r="D149" t="s">
        <v>1491</v>
      </c>
      <c r="E149" t="s">
        <v>1451</v>
      </c>
      <c r="F149" t="s">
        <v>1453</v>
      </c>
      <c r="G149" t="s">
        <v>992</v>
      </c>
      <c r="H149" s="576">
        <v>58078</v>
      </c>
      <c r="I149"/>
      <c r="J149" t="s">
        <v>1491</v>
      </c>
      <c r="K149" t="s">
        <v>1451</v>
      </c>
      <c r="L149" t="s">
        <v>1452</v>
      </c>
      <c r="M149" t="s">
        <v>1453</v>
      </c>
      <c r="N149" t="s">
        <v>992</v>
      </c>
      <c r="O149" s="576">
        <v>58078</v>
      </c>
      <c r="P149"/>
      <c r="Q149">
        <v>7012379073</v>
      </c>
      <c r="R149">
        <v>7012351582</v>
      </c>
      <c r="S149" t="s">
        <v>749</v>
      </c>
      <c r="T149" t="s">
        <v>749</v>
      </c>
      <c r="U149" t="s">
        <v>749</v>
      </c>
      <c r="V149" t="s">
        <v>1492</v>
      </c>
      <c r="W149" t="s">
        <v>1493</v>
      </c>
      <c r="X149" t="s">
        <v>1494</v>
      </c>
      <c r="Y149" t="s">
        <v>1495</v>
      </c>
      <c r="Z149" t="s">
        <v>1456</v>
      </c>
      <c r="AA149" t="s">
        <v>1496</v>
      </c>
      <c r="AB149">
        <v>7012973028</v>
      </c>
      <c r="AC149">
        <v>7012379073</v>
      </c>
      <c r="AD149">
        <v>7012351582</v>
      </c>
      <c r="AE149" t="s">
        <v>1492</v>
      </c>
      <c r="AF149" t="s">
        <v>1491</v>
      </c>
      <c r="AG149" t="s">
        <v>1451</v>
      </c>
      <c r="AH149" t="s">
        <v>1452</v>
      </c>
      <c r="AI149" t="s">
        <v>1453</v>
      </c>
      <c r="AJ149" t="s">
        <v>992</v>
      </c>
      <c r="AK149" s="576">
        <v>58078</v>
      </c>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t="s">
        <v>1494</v>
      </c>
      <c r="BR149" t="s">
        <v>1495</v>
      </c>
      <c r="BS149" t="s">
        <v>1456</v>
      </c>
      <c r="BT149" t="s">
        <v>1496</v>
      </c>
      <c r="BU149">
        <v>7012973028</v>
      </c>
      <c r="BV149">
        <v>7012379073</v>
      </c>
      <c r="BW149">
        <v>7012351582</v>
      </c>
      <c r="BX149" t="s">
        <v>1492</v>
      </c>
      <c r="BY149" t="s">
        <v>1491</v>
      </c>
      <c r="BZ149" t="s">
        <v>1451</v>
      </c>
      <c r="CA149" t="s">
        <v>1452</v>
      </c>
      <c r="CB149" t="s">
        <v>1453</v>
      </c>
      <c r="CC149" t="s">
        <v>992</v>
      </c>
      <c r="CD149" s="576">
        <v>58078</v>
      </c>
      <c r="CE149"/>
      <c r="CF149" t="s">
        <v>1497</v>
      </c>
      <c r="CG149" t="s">
        <v>1496</v>
      </c>
      <c r="CH149" t="s">
        <v>141</v>
      </c>
      <c r="CI149"/>
      <c r="CJ149"/>
      <c r="CK149"/>
      <c r="CL149"/>
      <c r="CM149">
        <v>1972553758</v>
      </c>
      <c r="CN149">
        <v>244</v>
      </c>
      <c r="CO149">
        <v>143</v>
      </c>
      <c r="CP149"/>
      <c r="CQ149"/>
      <c r="CR149">
        <v>143</v>
      </c>
      <c r="CS149" t="s">
        <v>788</v>
      </c>
      <c r="CT149">
        <v>12</v>
      </c>
      <c r="CU149"/>
      <c r="CV149"/>
      <c r="CW149"/>
      <c r="CX149"/>
      <c r="CY149"/>
      <c r="CZ149"/>
      <c r="DA149"/>
      <c r="DB149"/>
      <c r="DC149"/>
      <c r="DD149"/>
      <c r="DE149"/>
      <c r="DF149"/>
      <c r="DG149"/>
      <c r="DH149"/>
      <c r="DI149"/>
      <c r="DJ149"/>
      <c r="DK149"/>
      <c r="DL149"/>
      <c r="DM149"/>
      <c r="DN149"/>
      <c r="DO149"/>
      <c r="DP149"/>
      <c r="DQ149"/>
      <c r="DR149"/>
      <c r="DS149"/>
      <c r="DT149"/>
      <c r="DU149"/>
      <c r="DV149"/>
      <c r="DW149"/>
      <c r="DX149"/>
      <c r="DY149"/>
      <c r="DZ149"/>
      <c r="EA149"/>
      <c r="EB149"/>
      <c r="EC149"/>
      <c r="ED149"/>
      <c r="EE149"/>
      <c r="EF149"/>
      <c r="EG149"/>
      <c r="EH149"/>
      <c r="EI149"/>
      <c r="EJ149"/>
      <c r="EK149"/>
      <c r="EL149"/>
      <c r="EM149"/>
      <c r="EN149"/>
      <c r="EO149"/>
      <c r="EP149"/>
      <c r="EQ149"/>
      <c r="ER149">
        <v>63</v>
      </c>
      <c r="ES149"/>
      <c r="ET149"/>
      <c r="EU149"/>
      <c r="EV149" s="439">
        <v>1840</v>
      </c>
      <c r="EW149" t="s">
        <v>2371</v>
      </c>
      <c r="EX149" t="s">
        <v>2340</v>
      </c>
      <c r="EY149" t="s">
        <v>2341</v>
      </c>
      <c r="EZ149" t="s">
        <v>813</v>
      </c>
      <c r="FA149">
        <v>53527</v>
      </c>
      <c r="FB149">
        <v>1295785079</v>
      </c>
    </row>
    <row r="150" spans="1:158" x14ac:dyDescent="0.2">
      <c r="A150" s="439">
        <v>1679</v>
      </c>
      <c r="B150" t="s">
        <v>1540</v>
      </c>
      <c r="C150" t="s">
        <v>1490</v>
      </c>
      <c r="D150" t="s">
        <v>1491</v>
      </c>
      <c r="E150" t="s">
        <v>1451</v>
      </c>
      <c r="F150" t="s">
        <v>1453</v>
      </c>
      <c r="G150" t="s">
        <v>992</v>
      </c>
      <c r="H150" s="576">
        <v>58078</v>
      </c>
      <c r="I150"/>
      <c r="J150" t="s">
        <v>1491</v>
      </c>
      <c r="K150" t="s">
        <v>1451</v>
      </c>
      <c r="L150" t="s">
        <v>1452</v>
      </c>
      <c r="M150" t="s">
        <v>1453</v>
      </c>
      <c r="N150" t="s">
        <v>992</v>
      </c>
      <c r="O150" s="576">
        <v>58078</v>
      </c>
      <c r="P150"/>
      <c r="Q150">
        <v>7012379073</v>
      </c>
      <c r="R150">
        <v>7012351582</v>
      </c>
      <c r="S150" t="s">
        <v>749</v>
      </c>
      <c r="T150" t="s">
        <v>749</v>
      </c>
      <c r="U150" t="s">
        <v>749</v>
      </c>
      <c r="V150" t="s">
        <v>1492</v>
      </c>
      <c r="W150" t="s">
        <v>1493</v>
      </c>
      <c r="X150" t="s">
        <v>1494</v>
      </c>
      <c r="Y150" t="s">
        <v>1495</v>
      </c>
      <c r="Z150" t="s">
        <v>1456</v>
      </c>
      <c r="AA150" t="s">
        <v>1496</v>
      </c>
      <c r="AB150">
        <v>7012973028</v>
      </c>
      <c r="AC150">
        <v>7012379073</v>
      </c>
      <c r="AD150">
        <v>7012351582</v>
      </c>
      <c r="AE150" t="s">
        <v>1492</v>
      </c>
      <c r="AF150" t="s">
        <v>1491</v>
      </c>
      <c r="AG150" t="s">
        <v>1451</v>
      </c>
      <c r="AH150" t="s">
        <v>1452</v>
      </c>
      <c r="AI150" t="s">
        <v>1453</v>
      </c>
      <c r="AJ150" t="s">
        <v>992</v>
      </c>
      <c r="AK150" s="576">
        <v>58078</v>
      </c>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t="s">
        <v>1494</v>
      </c>
      <c r="BR150" t="s">
        <v>1495</v>
      </c>
      <c r="BS150" t="s">
        <v>1456</v>
      </c>
      <c r="BT150" t="s">
        <v>1496</v>
      </c>
      <c r="BU150">
        <v>7012973028</v>
      </c>
      <c r="BV150">
        <v>7012379073</v>
      </c>
      <c r="BW150">
        <v>7012351582</v>
      </c>
      <c r="BX150" t="s">
        <v>1492</v>
      </c>
      <c r="BY150" t="s">
        <v>1491</v>
      </c>
      <c r="BZ150" t="s">
        <v>1451</v>
      </c>
      <c r="CA150" t="s">
        <v>1452</v>
      </c>
      <c r="CB150" t="s">
        <v>1453</v>
      </c>
      <c r="CC150" t="s">
        <v>992</v>
      </c>
      <c r="CD150" s="576">
        <v>58078</v>
      </c>
      <c r="CE150"/>
      <c r="CF150" t="s">
        <v>1497</v>
      </c>
      <c r="CG150" t="s">
        <v>1496</v>
      </c>
      <c r="CH150" t="s">
        <v>141</v>
      </c>
      <c r="CI150"/>
      <c r="CJ150"/>
      <c r="CK150"/>
      <c r="CL150"/>
      <c r="CM150">
        <v>1972553758</v>
      </c>
      <c r="CN150">
        <v>244</v>
      </c>
      <c r="CO150">
        <v>143</v>
      </c>
      <c r="CP150"/>
      <c r="CQ150"/>
      <c r="CR150">
        <v>143</v>
      </c>
      <c r="CS150" t="s">
        <v>788</v>
      </c>
      <c r="CT150">
        <v>12</v>
      </c>
      <c r="CU150"/>
      <c r="CV150"/>
      <c r="CW150"/>
      <c r="CX150"/>
      <c r="CY150"/>
      <c r="CZ150"/>
      <c r="DA150"/>
      <c r="DB150"/>
      <c r="DC150"/>
      <c r="DD150"/>
      <c r="DE150"/>
      <c r="DF150"/>
      <c r="DG150"/>
      <c r="DH150"/>
      <c r="DI150"/>
      <c r="DJ150"/>
      <c r="DK150"/>
      <c r="DL150"/>
      <c r="DM150"/>
      <c r="DN150"/>
      <c r="DO150"/>
      <c r="DP150"/>
      <c r="DQ150"/>
      <c r="DR150"/>
      <c r="DS150"/>
      <c r="DT150"/>
      <c r="DU150"/>
      <c r="DV150"/>
      <c r="DW150"/>
      <c r="DX150"/>
      <c r="DY150"/>
      <c r="DZ150"/>
      <c r="EA150"/>
      <c r="EB150"/>
      <c r="EC150"/>
      <c r="ED150"/>
      <c r="EE150"/>
      <c r="EF150"/>
      <c r="EG150"/>
      <c r="EH150"/>
      <c r="EI150"/>
      <c r="EJ150"/>
      <c r="EK150"/>
      <c r="EL150"/>
      <c r="EM150"/>
      <c r="EN150"/>
      <c r="EO150"/>
      <c r="EP150"/>
      <c r="EQ150"/>
      <c r="ER150">
        <v>63</v>
      </c>
      <c r="ES150"/>
      <c r="ET150"/>
      <c r="EU150"/>
      <c r="EV150" s="439">
        <v>618</v>
      </c>
      <c r="EW150" t="s">
        <v>2372</v>
      </c>
      <c r="EX150" t="s">
        <v>2340</v>
      </c>
      <c r="EY150" t="s">
        <v>2341</v>
      </c>
      <c r="EZ150" t="s">
        <v>813</v>
      </c>
      <c r="FA150">
        <v>53527</v>
      </c>
      <c r="FB150">
        <v>1295785079</v>
      </c>
    </row>
    <row r="151" spans="1:158" x14ac:dyDescent="0.2">
      <c r="A151" s="439">
        <v>1680</v>
      </c>
      <c r="B151" t="s">
        <v>1541</v>
      </c>
      <c r="C151" t="s">
        <v>1490</v>
      </c>
      <c r="D151" t="s">
        <v>1491</v>
      </c>
      <c r="E151" t="s">
        <v>1451</v>
      </c>
      <c r="F151" t="s">
        <v>1453</v>
      </c>
      <c r="G151" t="s">
        <v>992</v>
      </c>
      <c r="H151" s="576">
        <v>58078</v>
      </c>
      <c r="I151"/>
      <c r="J151" t="s">
        <v>1491</v>
      </c>
      <c r="K151" t="s">
        <v>1451</v>
      </c>
      <c r="L151" t="s">
        <v>1452</v>
      </c>
      <c r="M151" t="s">
        <v>1453</v>
      </c>
      <c r="N151" t="s">
        <v>992</v>
      </c>
      <c r="O151" s="576">
        <v>58078</v>
      </c>
      <c r="P151"/>
      <c r="Q151">
        <v>7012379073</v>
      </c>
      <c r="R151">
        <v>7012351582</v>
      </c>
      <c r="S151" t="s">
        <v>749</v>
      </c>
      <c r="T151" t="s">
        <v>749</v>
      </c>
      <c r="U151" t="s">
        <v>749</v>
      </c>
      <c r="V151" t="s">
        <v>1492</v>
      </c>
      <c r="W151" t="s">
        <v>1493</v>
      </c>
      <c r="X151" t="s">
        <v>1494</v>
      </c>
      <c r="Y151" t="s">
        <v>1495</v>
      </c>
      <c r="Z151" t="s">
        <v>1456</v>
      </c>
      <c r="AA151" t="s">
        <v>1496</v>
      </c>
      <c r="AB151">
        <v>7012973028</v>
      </c>
      <c r="AC151">
        <v>7012379073</v>
      </c>
      <c r="AD151">
        <v>7012351582</v>
      </c>
      <c r="AE151" t="s">
        <v>1492</v>
      </c>
      <c r="AF151" t="s">
        <v>1491</v>
      </c>
      <c r="AG151" t="s">
        <v>1451</v>
      </c>
      <c r="AH151" t="s">
        <v>1452</v>
      </c>
      <c r="AI151" t="s">
        <v>1453</v>
      </c>
      <c r="AJ151" t="s">
        <v>992</v>
      </c>
      <c r="AK151" s="576">
        <v>58078</v>
      </c>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t="s">
        <v>1494</v>
      </c>
      <c r="BR151" t="s">
        <v>1495</v>
      </c>
      <c r="BS151" t="s">
        <v>1456</v>
      </c>
      <c r="BT151" t="s">
        <v>1496</v>
      </c>
      <c r="BU151">
        <v>7012973028</v>
      </c>
      <c r="BV151">
        <v>7012379073</v>
      </c>
      <c r="BW151">
        <v>7012351582</v>
      </c>
      <c r="BX151" t="s">
        <v>1492</v>
      </c>
      <c r="BY151" t="s">
        <v>1491</v>
      </c>
      <c r="BZ151" t="s">
        <v>1451</v>
      </c>
      <c r="CA151" t="s">
        <v>1452</v>
      </c>
      <c r="CB151" t="s">
        <v>1453</v>
      </c>
      <c r="CC151" t="s">
        <v>992</v>
      </c>
      <c r="CD151" s="576">
        <v>58078</v>
      </c>
      <c r="CE151"/>
      <c r="CF151" t="s">
        <v>1497</v>
      </c>
      <c r="CG151" t="s">
        <v>1496</v>
      </c>
      <c r="CH151" t="s">
        <v>141</v>
      </c>
      <c r="CI151"/>
      <c r="CJ151"/>
      <c r="CK151"/>
      <c r="CL151"/>
      <c r="CM151">
        <v>1972553758</v>
      </c>
      <c r="CN151">
        <v>244</v>
      </c>
      <c r="CO151">
        <v>143</v>
      </c>
      <c r="CP151"/>
      <c r="CQ151"/>
      <c r="CR151">
        <v>143</v>
      </c>
      <c r="CS151" t="s">
        <v>788</v>
      </c>
      <c r="CT151">
        <v>12</v>
      </c>
      <c r="CU151"/>
      <c r="CV151"/>
      <c r="CW151"/>
      <c r="CX151"/>
      <c r="CY151"/>
      <c r="CZ151"/>
      <c r="DA151"/>
      <c r="DB151"/>
      <c r="DC151"/>
      <c r="DD151"/>
      <c r="DE151"/>
      <c r="DF151"/>
      <c r="DG151"/>
      <c r="DH151"/>
      <c r="DI151"/>
      <c r="DJ151"/>
      <c r="DK151"/>
      <c r="DL151"/>
      <c r="DM151"/>
      <c r="DN151"/>
      <c r="DO151"/>
      <c r="DP151"/>
      <c r="DQ151"/>
      <c r="DR151"/>
      <c r="DS151"/>
      <c r="DT151"/>
      <c r="DU151"/>
      <c r="DV151"/>
      <c r="DW151"/>
      <c r="DX151"/>
      <c r="DY151"/>
      <c r="DZ151"/>
      <c r="EA151"/>
      <c r="EB151"/>
      <c r="EC151"/>
      <c r="ED151"/>
      <c r="EE151"/>
      <c r="EF151"/>
      <c r="EG151"/>
      <c r="EH151"/>
      <c r="EI151"/>
      <c r="EJ151"/>
      <c r="EK151"/>
      <c r="EL151"/>
      <c r="EM151"/>
      <c r="EN151"/>
      <c r="EO151"/>
      <c r="EP151"/>
      <c r="EQ151"/>
      <c r="ER151">
        <v>63</v>
      </c>
      <c r="ES151"/>
      <c r="ET151"/>
      <c r="EU151"/>
      <c r="EV151" s="439">
        <v>1469</v>
      </c>
      <c r="EW151" t="s">
        <v>2373</v>
      </c>
      <c r="EX151" t="s">
        <v>2340</v>
      </c>
      <c r="EY151" t="s">
        <v>2341</v>
      </c>
      <c r="EZ151" t="s">
        <v>813</v>
      </c>
      <c r="FA151">
        <v>53527</v>
      </c>
      <c r="FB151">
        <v>1295785079</v>
      </c>
    </row>
    <row r="152" spans="1:158" x14ac:dyDescent="0.2">
      <c r="A152" s="439">
        <v>1140</v>
      </c>
      <c r="B152" t="s">
        <v>1542</v>
      </c>
      <c r="C152" t="s">
        <v>1490</v>
      </c>
      <c r="D152" t="s">
        <v>1491</v>
      </c>
      <c r="E152" t="s">
        <v>1451</v>
      </c>
      <c r="F152" t="s">
        <v>1453</v>
      </c>
      <c r="G152" t="s">
        <v>992</v>
      </c>
      <c r="H152" s="576">
        <v>58078</v>
      </c>
      <c r="I152"/>
      <c r="J152" t="s">
        <v>1491</v>
      </c>
      <c r="K152" t="s">
        <v>1451</v>
      </c>
      <c r="L152" t="s">
        <v>1452</v>
      </c>
      <c r="M152" t="s">
        <v>1453</v>
      </c>
      <c r="N152" t="s">
        <v>992</v>
      </c>
      <c r="O152" s="576">
        <v>58078</v>
      </c>
      <c r="P152"/>
      <c r="Q152">
        <v>7012379073</v>
      </c>
      <c r="R152">
        <v>7012973077</v>
      </c>
      <c r="S152" t="s">
        <v>749</v>
      </c>
      <c r="T152" t="s">
        <v>749</v>
      </c>
      <c r="U152" t="s">
        <v>749</v>
      </c>
      <c r="V152" t="s">
        <v>1492</v>
      </c>
      <c r="W152" t="s">
        <v>1493</v>
      </c>
      <c r="X152" t="s">
        <v>1494</v>
      </c>
      <c r="Y152" t="s">
        <v>1495</v>
      </c>
      <c r="Z152" t="s">
        <v>1456</v>
      </c>
      <c r="AA152" t="s">
        <v>1496</v>
      </c>
      <c r="AB152">
        <v>7012973028</v>
      </c>
      <c r="AC152">
        <v>7012379073</v>
      </c>
      <c r="AD152">
        <v>7012351582</v>
      </c>
      <c r="AE152" t="s">
        <v>1492</v>
      </c>
      <c r="AF152" t="s">
        <v>1491</v>
      </c>
      <c r="AG152" t="s">
        <v>1451</v>
      </c>
      <c r="AH152" t="s">
        <v>1452</v>
      </c>
      <c r="AI152" t="s">
        <v>1453</v>
      </c>
      <c r="AJ152" t="s">
        <v>992</v>
      </c>
      <c r="AK152" s="576">
        <v>58078</v>
      </c>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t="s">
        <v>1494</v>
      </c>
      <c r="BR152" t="s">
        <v>1495</v>
      </c>
      <c r="BS152" t="s">
        <v>1456</v>
      </c>
      <c r="BT152" t="s">
        <v>1496</v>
      </c>
      <c r="BU152">
        <v>7012973028</v>
      </c>
      <c r="BV152">
        <v>7012379073</v>
      </c>
      <c r="BW152">
        <v>7012351582</v>
      </c>
      <c r="BX152" t="s">
        <v>1492</v>
      </c>
      <c r="BY152" t="s">
        <v>1491</v>
      </c>
      <c r="BZ152" t="s">
        <v>1451</v>
      </c>
      <c r="CA152" t="s">
        <v>1452</v>
      </c>
      <c r="CB152" t="s">
        <v>1453</v>
      </c>
      <c r="CC152" t="s">
        <v>992</v>
      </c>
      <c r="CD152" s="576">
        <v>58078</v>
      </c>
      <c r="CE152"/>
      <c r="CF152" t="s">
        <v>1497</v>
      </c>
      <c r="CG152" t="s">
        <v>1496</v>
      </c>
      <c r="CH152" t="s">
        <v>141</v>
      </c>
      <c r="CI152"/>
      <c r="CJ152"/>
      <c r="CK152"/>
      <c r="CL152"/>
      <c r="CM152"/>
      <c r="CN152">
        <v>244</v>
      </c>
      <c r="CO152">
        <v>143</v>
      </c>
      <c r="CP152"/>
      <c r="CQ152"/>
      <c r="CR152">
        <v>143</v>
      </c>
      <c r="CS152" t="s">
        <v>788</v>
      </c>
      <c r="CT152">
        <v>12</v>
      </c>
      <c r="CU152"/>
      <c r="CV152"/>
      <c r="CW152"/>
      <c r="CX152"/>
      <c r="CY152"/>
      <c r="CZ152"/>
      <c r="DA152"/>
      <c r="DB152"/>
      <c r="DC152"/>
      <c r="DD152"/>
      <c r="DE152"/>
      <c r="DF152"/>
      <c r="DG152"/>
      <c r="DH152"/>
      <c r="DI152"/>
      <c r="DJ152"/>
      <c r="DK152"/>
      <c r="DL152"/>
      <c r="DM152"/>
      <c r="DN152"/>
      <c r="DO152"/>
      <c r="DP152"/>
      <c r="DQ152"/>
      <c r="DR152"/>
      <c r="DS152"/>
      <c r="DT152"/>
      <c r="DU152"/>
      <c r="DV152"/>
      <c r="DW152"/>
      <c r="DX152"/>
      <c r="DY152"/>
      <c r="DZ152"/>
      <c r="EA152"/>
      <c r="EB152"/>
      <c r="EC152"/>
      <c r="ED152"/>
      <c r="EE152"/>
      <c r="EF152"/>
      <c r="EG152"/>
      <c r="EH152"/>
      <c r="EI152"/>
      <c r="EJ152"/>
      <c r="EK152"/>
      <c r="EL152"/>
      <c r="EM152"/>
      <c r="EN152"/>
      <c r="EO152"/>
      <c r="EP152"/>
      <c r="EQ152"/>
      <c r="ER152">
        <v>63</v>
      </c>
      <c r="ES152"/>
      <c r="ET152"/>
      <c r="EU152"/>
      <c r="EV152" s="439">
        <v>1686</v>
      </c>
      <c r="EW152" t="s">
        <v>2374</v>
      </c>
      <c r="EX152" t="s">
        <v>2340</v>
      </c>
      <c r="EY152" t="s">
        <v>2341</v>
      </c>
      <c r="EZ152" t="s">
        <v>813</v>
      </c>
      <c r="FA152">
        <v>53527</v>
      </c>
      <c r="FB152">
        <v>1295785079</v>
      </c>
    </row>
    <row r="153" spans="1:158" x14ac:dyDescent="0.2">
      <c r="A153" s="439">
        <v>1865</v>
      </c>
      <c r="B153" t="s">
        <v>1543</v>
      </c>
      <c r="C153" t="s">
        <v>1490</v>
      </c>
      <c r="D153" t="s">
        <v>1491</v>
      </c>
      <c r="E153" t="s">
        <v>1451</v>
      </c>
      <c r="F153" t="s">
        <v>1453</v>
      </c>
      <c r="G153" t="s">
        <v>992</v>
      </c>
      <c r="H153" s="576">
        <v>58078</v>
      </c>
      <c r="I153"/>
      <c r="J153" t="s">
        <v>1491</v>
      </c>
      <c r="K153" t="s">
        <v>1451</v>
      </c>
      <c r="L153" t="s">
        <v>1452</v>
      </c>
      <c r="M153" t="s">
        <v>1453</v>
      </c>
      <c r="N153" t="s">
        <v>992</v>
      </c>
      <c r="O153" s="576">
        <v>58078</v>
      </c>
      <c r="P153"/>
      <c r="Q153">
        <v>7012379073</v>
      </c>
      <c r="R153">
        <v>7012351582</v>
      </c>
      <c r="S153" t="s">
        <v>749</v>
      </c>
      <c r="T153" t="s">
        <v>749</v>
      </c>
      <c r="U153" t="s">
        <v>749</v>
      </c>
      <c r="V153" t="s">
        <v>1492</v>
      </c>
      <c r="W153" t="s">
        <v>1493</v>
      </c>
      <c r="X153" t="s">
        <v>1494</v>
      </c>
      <c r="Y153" t="s">
        <v>1495</v>
      </c>
      <c r="Z153" t="s">
        <v>1456</v>
      </c>
      <c r="AA153" t="s">
        <v>1496</v>
      </c>
      <c r="AB153">
        <v>7012973028</v>
      </c>
      <c r="AC153">
        <v>7012379073</v>
      </c>
      <c r="AD153">
        <v>7012351582</v>
      </c>
      <c r="AE153" t="s">
        <v>1492</v>
      </c>
      <c r="AF153" t="s">
        <v>1491</v>
      </c>
      <c r="AG153" t="s">
        <v>1451</v>
      </c>
      <c r="AH153" t="s">
        <v>1452</v>
      </c>
      <c r="AI153" t="s">
        <v>1453</v>
      </c>
      <c r="AJ153" t="s">
        <v>992</v>
      </c>
      <c r="AK153" s="576">
        <v>58078</v>
      </c>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t="s">
        <v>1494</v>
      </c>
      <c r="BR153" t="s">
        <v>1495</v>
      </c>
      <c r="BS153" t="s">
        <v>1456</v>
      </c>
      <c r="BT153" t="s">
        <v>1496</v>
      </c>
      <c r="BU153">
        <v>7012973028</v>
      </c>
      <c r="BV153">
        <v>7012379073</v>
      </c>
      <c r="BW153">
        <v>7012351582</v>
      </c>
      <c r="BX153" t="s">
        <v>1492</v>
      </c>
      <c r="BY153" t="s">
        <v>1491</v>
      </c>
      <c r="BZ153" t="s">
        <v>1451</v>
      </c>
      <c r="CA153" t="s">
        <v>1452</v>
      </c>
      <c r="CB153" t="s">
        <v>1453</v>
      </c>
      <c r="CC153" t="s">
        <v>992</v>
      </c>
      <c r="CD153" s="576">
        <v>58078</v>
      </c>
      <c r="CE153"/>
      <c r="CF153" t="s">
        <v>1497</v>
      </c>
      <c r="CG153" t="s">
        <v>1496</v>
      </c>
      <c r="CH153" t="s">
        <v>141</v>
      </c>
      <c r="CI153"/>
      <c r="CJ153"/>
      <c r="CK153"/>
      <c r="CL153"/>
      <c r="CM153"/>
      <c r="CN153">
        <v>244</v>
      </c>
      <c r="CO153">
        <v>143</v>
      </c>
      <c r="CP153"/>
      <c r="CQ153"/>
      <c r="CR153">
        <v>143</v>
      </c>
      <c r="CS153" t="s">
        <v>788</v>
      </c>
      <c r="CT153">
        <v>12</v>
      </c>
      <c r="CU153"/>
      <c r="CV153"/>
      <c r="CW153"/>
      <c r="CX153"/>
      <c r="CY153"/>
      <c r="CZ153"/>
      <c r="DA153"/>
      <c r="DB153"/>
      <c r="DC153"/>
      <c r="DD153"/>
      <c r="DE153"/>
      <c r="DF153"/>
      <c r="DG153"/>
      <c r="DH153"/>
      <c r="DI153"/>
      <c r="DJ153"/>
      <c r="DK153"/>
      <c r="DL153"/>
      <c r="DM153"/>
      <c r="DN153"/>
      <c r="DO153"/>
      <c r="DP153"/>
      <c r="DQ153"/>
      <c r="DR153"/>
      <c r="DS153"/>
      <c r="DT153"/>
      <c r="DU153"/>
      <c r="DV153"/>
      <c r="DW153"/>
      <c r="DX153"/>
      <c r="DY153"/>
      <c r="DZ153"/>
      <c r="EA153"/>
      <c r="EB153"/>
      <c r="EC153"/>
      <c r="ED153"/>
      <c r="EE153"/>
      <c r="EF153"/>
      <c r="EG153"/>
      <c r="EH153"/>
      <c r="EI153"/>
      <c r="EJ153"/>
      <c r="EK153"/>
      <c r="EL153"/>
      <c r="EM153"/>
      <c r="EN153"/>
      <c r="EO153"/>
      <c r="EP153"/>
      <c r="EQ153"/>
      <c r="ER153">
        <v>63</v>
      </c>
      <c r="ES153"/>
      <c r="ET153"/>
      <c r="EU153"/>
      <c r="EV153" s="439">
        <v>1687</v>
      </c>
      <c r="EW153" t="s">
        <v>2375</v>
      </c>
      <c r="EX153" t="s">
        <v>2340</v>
      </c>
      <c r="EY153" t="s">
        <v>2341</v>
      </c>
      <c r="EZ153" t="s">
        <v>813</v>
      </c>
      <c r="FA153">
        <v>53527</v>
      </c>
      <c r="FB153">
        <v>1295785079</v>
      </c>
    </row>
    <row r="154" spans="1:158" x14ac:dyDescent="0.2">
      <c r="A154" s="439">
        <v>1014</v>
      </c>
      <c r="B154" t="s">
        <v>1544</v>
      </c>
      <c r="C154" t="s">
        <v>1490</v>
      </c>
      <c r="D154" t="s">
        <v>1491</v>
      </c>
      <c r="E154" t="s">
        <v>1451</v>
      </c>
      <c r="F154" t="s">
        <v>1453</v>
      </c>
      <c r="G154" t="s">
        <v>992</v>
      </c>
      <c r="H154" s="576">
        <v>58078</v>
      </c>
      <c r="I154"/>
      <c r="J154" t="s">
        <v>1491</v>
      </c>
      <c r="K154" t="s">
        <v>1451</v>
      </c>
      <c r="L154" t="s">
        <v>1452</v>
      </c>
      <c r="M154" t="s">
        <v>1453</v>
      </c>
      <c r="N154" t="s">
        <v>992</v>
      </c>
      <c r="O154" s="576">
        <v>58078</v>
      </c>
      <c r="P154"/>
      <c r="Q154">
        <v>7012379073</v>
      </c>
      <c r="R154">
        <v>7012351582</v>
      </c>
      <c r="S154" t="s">
        <v>749</v>
      </c>
      <c r="T154" t="s">
        <v>749</v>
      </c>
      <c r="U154" t="s">
        <v>749</v>
      </c>
      <c r="V154" t="s">
        <v>1492</v>
      </c>
      <c r="W154" t="s">
        <v>1493</v>
      </c>
      <c r="X154" t="s">
        <v>1494</v>
      </c>
      <c r="Y154" t="s">
        <v>1495</v>
      </c>
      <c r="Z154" t="s">
        <v>1456</v>
      </c>
      <c r="AA154" t="s">
        <v>1496</v>
      </c>
      <c r="AB154">
        <v>7012973028</v>
      </c>
      <c r="AC154">
        <v>7012379073</v>
      </c>
      <c r="AD154">
        <v>7012351582</v>
      </c>
      <c r="AE154" t="s">
        <v>1492</v>
      </c>
      <c r="AF154" t="s">
        <v>1491</v>
      </c>
      <c r="AG154" t="s">
        <v>1451</v>
      </c>
      <c r="AH154" t="s">
        <v>1452</v>
      </c>
      <c r="AI154" t="s">
        <v>1453</v>
      </c>
      <c r="AJ154" t="s">
        <v>992</v>
      </c>
      <c r="AK154" s="576">
        <v>58078</v>
      </c>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t="s">
        <v>1494</v>
      </c>
      <c r="BR154" t="s">
        <v>1495</v>
      </c>
      <c r="BS154" t="s">
        <v>1456</v>
      </c>
      <c r="BT154" t="s">
        <v>1496</v>
      </c>
      <c r="BU154">
        <v>7012973028</v>
      </c>
      <c r="BV154">
        <v>7012379073</v>
      </c>
      <c r="BW154">
        <v>7012351582</v>
      </c>
      <c r="BX154" t="s">
        <v>1492</v>
      </c>
      <c r="BY154" t="s">
        <v>1491</v>
      </c>
      <c r="BZ154" t="s">
        <v>1451</v>
      </c>
      <c r="CA154" t="s">
        <v>1452</v>
      </c>
      <c r="CB154" t="s">
        <v>1453</v>
      </c>
      <c r="CC154" t="s">
        <v>992</v>
      </c>
      <c r="CD154" s="576">
        <v>58078</v>
      </c>
      <c r="CE154"/>
      <c r="CF154" t="s">
        <v>1497</v>
      </c>
      <c r="CG154" t="s">
        <v>1496</v>
      </c>
      <c r="CH154" t="s">
        <v>141</v>
      </c>
      <c r="CI154"/>
      <c r="CJ154"/>
      <c r="CK154"/>
      <c r="CL154"/>
      <c r="CM154">
        <v>1972553758</v>
      </c>
      <c r="CN154">
        <v>244</v>
      </c>
      <c r="CO154">
        <v>143</v>
      </c>
      <c r="CP154"/>
      <c r="CQ154"/>
      <c r="CR154">
        <v>143</v>
      </c>
      <c r="CS154" t="s">
        <v>788</v>
      </c>
      <c r="CT154">
        <v>12</v>
      </c>
      <c r="CU154"/>
      <c r="CV154"/>
      <c r="CW154"/>
      <c r="CX154"/>
      <c r="CY154"/>
      <c r="CZ154"/>
      <c r="DA154"/>
      <c r="DB154"/>
      <c r="DC154"/>
      <c r="DD154"/>
      <c r="DE154"/>
      <c r="DF154"/>
      <c r="DG154"/>
      <c r="DH154"/>
      <c r="DI154"/>
      <c r="DJ154"/>
      <c r="DK154"/>
      <c r="DL154"/>
      <c r="DM154"/>
      <c r="DN154"/>
      <c r="DO154"/>
      <c r="DP154"/>
      <c r="DQ154"/>
      <c r="DR154"/>
      <c r="DS154"/>
      <c r="DT154"/>
      <c r="DU154"/>
      <c r="DV154"/>
      <c r="DW154"/>
      <c r="DX154"/>
      <c r="DY154"/>
      <c r="DZ154"/>
      <c r="EA154"/>
      <c r="EB154"/>
      <c r="EC154"/>
      <c r="ED154"/>
      <c r="EE154"/>
      <c r="EF154"/>
      <c r="EG154"/>
      <c r="EH154"/>
      <c r="EI154"/>
      <c r="EJ154"/>
      <c r="EK154"/>
      <c r="EL154"/>
      <c r="EM154"/>
      <c r="EN154"/>
      <c r="EO154"/>
      <c r="EP154"/>
      <c r="EQ154"/>
      <c r="ER154">
        <v>63</v>
      </c>
      <c r="ES154"/>
      <c r="ET154"/>
      <c r="EU154"/>
      <c r="EV154" s="439">
        <v>1698</v>
      </c>
      <c r="EW154" t="s">
        <v>2376</v>
      </c>
      <c r="EX154" t="s">
        <v>2340</v>
      </c>
      <c r="EY154" t="s">
        <v>2341</v>
      </c>
      <c r="EZ154" t="s">
        <v>813</v>
      </c>
      <c r="FA154">
        <v>53527</v>
      </c>
      <c r="FB154">
        <v>1295785079</v>
      </c>
    </row>
    <row r="155" spans="1:158" x14ac:dyDescent="0.2">
      <c r="A155" s="439">
        <v>1690</v>
      </c>
      <c r="B155" t="s">
        <v>1545</v>
      </c>
      <c r="C155" t="s">
        <v>1490</v>
      </c>
      <c r="D155" t="s">
        <v>1491</v>
      </c>
      <c r="E155" t="s">
        <v>1451</v>
      </c>
      <c r="F155" t="s">
        <v>1453</v>
      </c>
      <c r="G155" t="s">
        <v>992</v>
      </c>
      <c r="H155" s="576">
        <v>58078</v>
      </c>
      <c r="I155"/>
      <c r="J155" t="s">
        <v>1491</v>
      </c>
      <c r="K155" t="s">
        <v>1451</v>
      </c>
      <c r="L155" t="s">
        <v>1452</v>
      </c>
      <c r="M155" t="s">
        <v>1453</v>
      </c>
      <c r="N155" t="s">
        <v>992</v>
      </c>
      <c r="O155" s="576">
        <v>58078</v>
      </c>
      <c r="P155"/>
      <c r="Q155">
        <v>7012379073</v>
      </c>
      <c r="R155">
        <v>7012351582</v>
      </c>
      <c r="S155"/>
      <c r="T155"/>
      <c r="U155"/>
      <c r="V155" t="s">
        <v>1492</v>
      </c>
      <c r="W155" t="s">
        <v>1493</v>
      </c>
      <c r="X155" t="s">
        <v>1494</v>
      </c>
      <c r="Y155" t="s">
        <v>1495</v>
      </c>
      <c r="Z155" t="s">
        <v>1456</v>
      </c>
      <c r="AA155" t="s">
        <v>1496</v>
      </c>
      <c r="AB155">
        <v>7012973028</v>
      </c>
      <c r="AC155">
        <v>7012379073</v>
      </c>
      <c r="AD155">
        <v>7012351582</v>
      </c>
      <c r="AE155" t="s">
        <v>1492</v>
      </c>
      <c r="AF155" t="s">
        <v>1491</v>
      </c>
      <c r="AG155" t="s">
        <v>1451</v>
      </c>
      <c r="AH155" t="s">
        <v>1452</v>
      </c>
      <c r="AI155" t="s">
        <v>1453</v>
      </c>
      <c r="AJ155" t="s">
        <v>992</v>
      </c>
      <c r="AK155" s="576">
        <v>58078</v>
      </c>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t="s">
        <v>1494</v>
      </c>
      <c r="BR155" t="s">
        <v>1495</v>
      </c>
      <c r="BS155" t="s">
        <v>1456</v>
      </c>
      <c r="BT155" t="s">
        <v>1496</v>
      </c>
      <c r="BU155">
        <v>7012973028</v>
      </c>
      <c r="BV155">
        <v>7012379073</v>
      </c>
      <c r="BW155">
        <v>7012351582</v>
      </c>
      <c r="BX155" t="s">
        <v>1492</v>
      </c>
      <c r="BY155" t="s">
        <v>1491</v>
      </c>
      <c r="BZ155" t="s">
        <v>1451</v>
      </c>
      <c r="CA155" t="s">
        <v>1452</v>
      </c>
      <c r="CB155" t="s">
        <v>1453</v>
      </c>
      <c r="CC155" t="s">
        <v>992</v>
      </c>
      <c r="CD155" s="576">
        <v>58078</v>
      </c>
      <c r="CE155"/>
      <c r="CF155" t="s">
        <v>1497</v>
      </c>
      <c r="CG155" t="s">
        <v>1496</v>
      </c>
      <c r="CH155"/>
      <c r="CI155"/>
      <c r="CJ155"/>
      <c r="CK155"/>
      <c r="CL155"/>
      <c r="CM155"/>
      <c r="CN155">
        <v>244</v>
      </c>
      <c r="CO155">
        <v>143</v>
      </c>
      <c r="CP155"/>
      <c r="CQ155"/>
      <c r="CR155">
        <v>143</v>
      </c>
      <c r="CS155" t="s">
        <v>788</v>
      </c>
      <c r="CT155">
        <v>12</v>
      </c>
      <c r="CU155"/>
      <c r="CV155"/>
      <c r="CW155"/>
      <c r="CX155"/>
      <c r="CY155"/>
      <c r="CZ155"/>
      <c r="DA155"/>
      <c r="DB155"/>
      <c r="DC155"/>
      <c r="DD155"/>
      <c r="DE155"/>
      <c r="DF155"/>
      <c r="DG155"/>
      <c r="DH155"/>
      <c r="DI155"/>
      <c r="DJ155"/>
      <c r="DK155"/>
      <c r="DL155"/>
      <c r="DM155"/>
      <c r="DN155"/>
      <c r="DO155"/>
      <c r="DP155"/>
      <c r="DQ155"/>
      <c r="DR155"/>
      <c r="DS155"/>
      <c r="DT155"/>
      <c r="DU155"/>
      <c r="DV155"/>
      <c r="DW155"/>
      <c r="DX155"/>
      <c r="DY155"/>
      <c r="DZ155"/>
      <c r="EA155"/>
      <c r="EB155"/>
      <c r="EC155"/>
      <c r="ED155"/>
      <c r="EE155"/>
      <c r="EF155"/>
      <c r="EG155"/>
      <c r="EH155"/>
      <c r="EI155"/>
      <c r="EJ155"/>
      <c r="EK155"/>
      <c r="EL155"/>
      <c r="EM155"/>
      <c r="EN155"/>
      <c r="EO155"/>
      <c r="EP155"/>
      <c r="EQ155"/>
      <c r="ER155">
        <v>63</v>
      </c>
      <c r="ES155"/>
      <c r="ET155"/>
      <c r="EU155"/>
      <c r="EV155" s="439">
        <v>1841</v>
      </c>
      <c r="EW155" t="s">
        <v>2377</v>
      </c>
      <c r="EX155" t="s">
        <v>2340</v>
      </c>
      <c r="EY155" t="s">
        <v>2341</v>
      </c>
      <c r="EZ155" t="s">
        <v>813</v>
      </c>
      <c r="FA155">
        <v>53527</v>
      </c>
      <c r="FB155">
        <v>1295785079</v>
      </c>
    </row>
    <row r="156" spans="1:158" x14ac:dyDescent="0.2">
      <c r="A156" s="439">
        <v>1850</v>
      </c>
      <c r="B156" t="s">
        <v>1546</v>
      </c>
      <c r="C156" t="s">
        <v>1490</v>
      </c>
      <c r="D156" t="s">
        <v>1491</v>
      </c>
      <c r="E156" t="s">
        <v>1451</v>
      </c>
      <c r="F156" t="s">
        <v>1453</v>
      </c>
      <c r="G156" t="s">
        <v>992</v>
      </c>
      <c r="H156" s="576">
        <v>58078</v>
      </c>
      <c r="I156"/>
      <c r="J156" t="s">
        <v>1491</v>
      </c>
      <c r="K156" t="s">
        <v>1451</v>
      </c>
      <c r="L156" t="s">
        <v>1452</v>
      </c>
      <c r="M156" t="s">
        <v>1453</v>
      </c>
      <c r="N156" t="s">
        <v>992</v>
      </c>
      <c r="O156" s="576">
        <v>58078</v>
      </c>
      <c r="P156"/>
      <c r="Q156">
        <v>7012379073</v>
      </c>
      <c r="R156">
        <v>7012973077</v>
      </c>
      <c r="S156" t="s">
        <v>749</v>
      </c>
      <c r="T156" t="s">
        <v>749</v>
      </c>
      <c r="U156" t="s">
        <v>749</v>
      </c>
      <c r="V156" t="s">
        <v>1492</v>
      </c>
      <c r="W156" t="s">
        <v>1493</v>
      </c>
      <c r="X156" t="s">
        <v>1494</v>
      </c>
      <c r="Y156" t="s">
        <v>1495</v>
      </c>
      <c r="Z156" t="s">
        <v>1456</v>
      </c>
      <c r="AA156" t="s">
        <v>1496</v>
      </c>
      <c r="AB156">
        <v>7012973028</v>
      </c>
      <c r="AC156">
        <v>7012379073</v>
      </c>
      <c r="AD156">
        <v>7012351582</v>
      </c>
      <c r="AE156" t="s">
        <v>1492</v>
      </c>
      <c r="AF156" t="s">
        <v>1491</v>
      </c>
      <c r="AG156" t="s">
        <v>1451</v>
      </c>
      <c r="AH156" t="s">
        <v>1452</v>
      </c>
      <c r="AI156" t="s">
        <v>1453</v>
      </c>
      <c r="AJ156" t="s">
        <v>992</v>
      </c>
      <c r="AK156" s="576">
        <v>58078</v>
      </c>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t="s">
        <v>1494</v>
      </c>
      <c r="BR156" t="s">
        <v>1495</v>
      </c>
      <c r="BS156" t="s">
        <v>1456</v>
      </c>
      <c r="BT156" t="s">
        <v>1496</v>
      </c>
      <c r="BU156">
        <v>7012973028</v>
      </c>
      <c r="BV156">
        <v>7012379073</v>
      </c>
      <c r="BW156">
        <v>7012351582</v>
      </c>
      <c r="BX156" t="s">
        <v>1492</v>
      </c>
      <c r="BY156" t="s">
        <v>1491</v>
      </c>
      <c r="BZ156" t="s">
        <v>1451</v>
      </c>
      <c r="CA156" t="s">
        <v>1452</v>
      </c>
      <c r="CB156" t="s">
        <v>1453</v>
      </c>
      <c r="CC156" t="s">
        <v>992</v>
      </c>
      <c r="CD156" s="576">
        <v>58078</v>
      </c>
      <c r="CE156"/>
      <c r="CF156" t="s">
        <v>1497</v>
      </c>
      <c r="CG156" t="s">
        <v>1496</v>
      </c>
      <c r="CH156" t="s">
        <v>141</v>
      </c>
      <c r="CI156"/>
      <c r="CJ156"/>
      <c r="CK156"/>
      <c r="CL156"/>
      <c r="CM156">
        <v>1972553758</v>
      </c>
      <c r="CN156">
        <v>244</v>
      </c>
      <c r="CO156">
        <v>143</v>
      </c>
      <c r="CP156"/>
      <c r="CQ156"/>
      <c r="CR156">
        <v>143</v>
      </c>
      <c r="CS156" t="s">
        <v>788</v>
      </c>
      <c r="CT156">
        <v>12</v>
      </c>
      <c r="CU156"/>
      <c r="CV156"/>
      <c r="CW156"/>
      <c r="CX156"/>
      <c r="CY156"/>
      <c r="CZ156"/>
      <c r="DA156"/>
      <c r="DB156"/>
      <c r="DC156"/>
      <c r="DD156"/>
      <c r="DE156"/>
      <c r="DF156"/>
      <c r="DG156"/>
      <c r="DH156"/>
      <c r="DI156"/>
      <c r="DJ156"/>
      <c r="DK156"/>
      <c r="DL156"/>
      <c r="DM156"/>
      <c r="DN156"/>
      <c r="DO156"/>
      <c r="DP156"/>
      <c r="DQ156"/>
      <c r="DR156"/>
      <c r="DS156"/>
      <c r="DT156"/>
      <c r="DU156"/>
      <c r="DV156"/>
      <c r="DW156"/>
      <c r="DX156"/>
      <c r="DY156"/>
      <c r="DZ156"/>
      <c r="EA156"/>
      <c r="EB156"/>
      <c r="EC156"/>
      <c r="ED156"/>
      <c r="EE156"/>
      <c r="EF156"/>
      <c r="EG156"/>
      <c r="EH156"/>
      <c r="EI156"/>
      <c r="EJ156"/>
      <c r="EK156"/>
      <c r="EL156"/>
      <c r="EM156"/>
      <c r="EN156"/>
      <c r="EO156"/>
      <c r="EP156"/>
      <c r="EQ156"/>
      <c r="ER156">
        <v>63</v>
      </c>
      <c r="ES156"/>
      <c r="ET156"/>
      <c r="EU156"/>
      <c r="EV156" s="439">
        <v>1773</v>
      </c>
      <c r="EW156" t="s">
        <v>2378</v>
      </c>
      <c r="EX156" t="s">
        <v>2340</v>
      </c>
      <c r="EY156" t="s">
        <v>2341</v>
      </c>
      <c r="EZ156" t="s">
        <v>813</v>
      </c>
      <c r="FA156">
        <v>53527</v>
      </c>
      <c r="FB156">
        <v>1295785079</v>
      </c>
    </row>
    <row r="157" spans="1:158" x14ac:dyDescent="0.2">
      <c r="A157" s="439">
        <v>1340</v>
      </c>
      <c r="B157" t="s">
        <v>1547</v>
      </c>
      <c r="C157" t="s">
        <v>1020</v>
      </c>
      <c r="D157" t="s">
        <v>1548</v>
      </c>
      <c r="E157"/>
      <c r="F157" t="s">
        <v>1023</v>
      </c>
      <c r="G157" t="s">
        <v>54</v>
      </c>
      <c r="H157" s="576">
        <v>55805</v>
      </c>
      <c r="I157"/>
      <c r="J157" t="s">
        <v>869</v>
      </c>
      <c r="K157" t="s">
        <v>870</v>
      </c>
      <c r="L157" t="s">
        <v>871</v>
      </c>
      <c r="M157" t="s">
        <v>744</v>
      </c>
      <c r="N157" t="s">
        <v>54</v>
      </c>
      <c r="O157" s="576">
        <v>55416</v>
      </c>
      <c r="P157"/>
      <c r="Q157">
        <v>2187225390</v>
      </c>
      <c r="R157">
        <v>2187227501</v>
      </c>
      <c r="S157" t="s">
        <v>872</v>
      </c>
      <c r="T157" t="s">
        <v>873</v>
      </c>
      <c r="U157" t="s">
        <v>1140</v>
      </c>
      <c r="V157" t="s">
        <v>875</v>
      </c>
      <c r="W157" t="s">
        <v>876</v>
      </c>
      <c r="X157" t="s">
        <v>877</v>
      </c>
      <c r="Y157" t="s">
        <v>878</v>
      </c>
      <c r="Z157" t="s">
        <v>879</v>
      </c>
      <c r="AA157" t="s">
        <v>880</v>
      </c>
      <c r="AB157">
        <v>9525136831</v>
      </c>
      <c r="AC157"/>
      <c r="AD157">
        <v>9525136880</v>
      </c>
      <c r="AE157" t="s">
        <v>881</v>
      </c>
      <c r="AF157" t="s">
        <v>869</v>
      </c>
      <c r="AG157" t="s">
        <v>882</v>
      </c>
      <c r="AH157" t="s">
        <v>871</v>
      </c>
      <c r="AI157" t="s">
        <v>744</v>
      </c>
      <c r="AJ157" t="s">
        <v>54</v>
      </c>
      <c r="AK157" s="576">
        <v>55416</v>
      </c>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t="s">
        <v>883</v>
      </c>
      <c r="CG157" t="s">
        <v>884</v>
      </c>
      <c r="CH157" t="s">
        <v>141</v>
      </c>
      <c r="CI157" t="s">
        <v>1549</v>
      </c>
      <c r="CJ157" t="s">
        <v>141</v>
      </c>
      <c r="CK157"/>
      <c r="CL157"/>
      <c r="CM157"/>
      <c r="CN157">
        <v>395</v>
      </c>
      <c r="CO157">
        <v>142</v>
      </c>
      <c r="CP157"/>
      <c r="CQ157"/>
      <c r="CR157"/>
      <c r="CS157" t="s">
        <v>788</v>
      </c>
      <c r="CT157">
        <v>12</v>
      </c>
      <c r="CU157"/>
      <c r="CV157"/>
      <c r="CW157"/>
      <c r="CX157"/>
      <c r="CY157"/>
      <c r="CZ157"/>
      <c r="DA157"/>
      <c r="DB157"/>
      <c r="DC157"/>
      <c r="DD157">
        <v>128</v>
      </c>
      <c r="DE157" t="s">
        <v>1550</v>
      </c>
      <c r="DF157"/>
      <c r="DG157"/>
      <c r="DH157"/>
      <c r="DI157"/>
      <c r="DJ157"/>
      <c r="DK157"/>
      <c r="DL157"/>
      <c r="DM157"/>
      <c r="DN157"/>
      <c r="DO157"/>
      <c r="DP157"/>
      <c r="DQ157"/>
      <c r="DR157"/>
      <c r="DS157"/>
      <c r="DT157"/>
      <c r="DU157"/>
      <c r="DV157"/>
      <c r="DW157"/>
      <c r="DX157"/>
      <c r="DY157"/>
      <c r="DZ157"/>
      <c r="EA157"/>
      <c r="EB157"/>
      <c r="EC157"/>
      <c r="ED157"/>
      <c r="EE157"/>
      <c r="EF157"/>
      <c r="EG157"/>
      <c r="EH157"/>
      <c r="EI157"/>
      <c r="EJ157"/>
      <c r="EK157"/>
      <c r="EL157"/>
      <c r="EM157"/>
      <c r="EN157"/>
      <c r="EO157"/>
      <c r="EP157"/>
      <c r="EQ157"/>
      <c r="ER157">
        <v>48</v>
      </c>
      <c r="ES157">
        <v>31</v>
      </c>
      <c r="ET157"/>
      <c r="EU157"/>
      <c r="EV157" s="439">
        <v>1334</v>
      </c>
      <c r="EW157" t="s">
        <v>2379</v>
      </c>
      <c r="EX157" t="s">
        <v>2340</v>
      </c>
      <c r="EY157" t="s">
        <v>2341</v>
      </c>
      <c r="EZ157" t="s">
        <v>813</v>
      </c>
      <c r="FA157">
        <v>53527</v>
      </c>
      <c r="FB157">
        <v>1295785079</v>
      </c>
    </row>
    <row r="158" spans="1:158" x14ac:dyDescent="0.2">
      <c r="A158" s="439">
        <v>1461</v>
      </c>
      <c r="B158" t="s">
        <v>1551</v>
      </c>
      <c r="C158" t="s">
        <v>1105</v>
      </c>
      <c r="D158" t="s">
        <v>1552</v>
      </c>
      <c r="E158" t="s">
        <v>1553</v>
      </c>
      <c r="F158"/>
      <c r="G158" t="s">
        <v>54</v>
      </c>
      <c r="H158" s="576">
        <v>55337</v>
      </c>
      <c r="I158" t="s">
        <v>749</v>
      </c>
      <c r="J158" t="s">
        <v>1552</v>
      </c>
      <c r="K158" t="s">
        <v>1553</v>
      </c>
      <c r="L158" t="s">
        <v>1105</v>
      </c>
      <c r="M158"/>
      <c r="N158" t="s">
        <v>54</v>
      </c>
      <c r="O158" s="576">
        <v>55337</v>
      </c>
      <c r="P158"/>
      <c r="Q158">
        <v>9524353050</v>
      </c>
      <c r="R158">
        <v>9524353931</v>
      </c>
      <c r="S158" t="s">
        <v>1554</v>
      </c>
      <c r="T158" t="s">
        <v>1555</v>
      </c>
      <c r="U158" t="s">
        <v>1556</v>
      </c>
      <c r="V158" t="s">
        <v>1557</v>
      </c>
      <c r="W158" t="s">
        <v>1558</v>
      </c>
      <c r="X158" t="s">
        <v>1554</v>
      </c>
      <c r="Y158" t="s">
        <v>1555</v>
      </c>
      <c r="Z158" t="s">
        <v>1556</v>
      </c>
      <c r="AA158" t="s">
        <v>1559</v>
      </c>
      <c r="AB158">
        <v>9524446219</v>
      </c>
      <c r="AC158"/>
      <c r="AD158">
        <v>6128712012</v>
      </c>
      <c r="AE158" t="s">
        <v>1557</v>
      </c>
      <c r="AF158" t="s">
        <v>1560</v>
      </c>
      <c r="AG158" t="s">
        <v>831</v>
      </c>
      <c r="AH158" t="s">
        <v>871</v>
      </c>
      <c r="AI158" t="s">
        <v>744</v>
      </c>
      <c r="AJ158" t="s">
        <v>54</v>
      </c>
      <c r="AK158" s="576">
        <v>55416</v>
      </c>
      <c r="AL158" t="s">
        <v>749</v>
      </c>
      <c r="AM158" t="s">
        <v>1561</v>
      </c>
      <c r="AN158" t="s">
        <v>1562</v>
      </c>
      <c r="AO158" t="s">
        <v>1563</v>
      </c>
      <c r="AP158" t="s">
        <v>1564</v>
      </c>
      <c r="AQ158">
        <v>9522324416</v>
      </c>
      <c r="AR158"/>
      <c r="AS158">
        <v>6128712012</v>
      </c>
      <c r="AT158" t="s">
        <v>1565</v>
      </c>
      <c r="AU158" t="s">
        <v>1560</v>
      </c>
      <c r="AV158" t="s">
        <v>831</v>
      </c>
      <c r="AW158" t="s">
        <v>871</v>
      </c>
      <c r="AX158" t="s">
        <v>744</v>
      </c>
      <c r="AY158" t="s">
        <v>54</v>
      </c>
      <c r="AZ158" s="576">
        <v>55416</v>
      </c>
      <c r="BA158" s="576">
        <v>3711</v>
      </c>
      <c r="BB158" t="s">
        <v>1566</v>
      </c>
      <c r="BC158" t="s">
        <v>1567</v>
      </c>
      <c r="BD158" t="s">
        <v>1568</v>
      </c>
      <c r="BE158" t="s">
        <v>1559</v>
      </c>
      <c r="BF158">
        <v>9522320092</v>
      </c>
      <c r="BG158"/>
      <c r="BH158">
        <v>6128712012</v>
      </c>
      <c r="BI158" t="s">
        <v>1569</v>
      </c>
      <c r="BJ158" t="s">
        <v>1560</v>
      </c>
      <c r="BK158" t="s">
        <v>831</v>
      </c>
      <c r="BL158" t="s">
        <v>871</v>
      </c>
      <c r="BM158" t="s">
        <v>744</v>
      </c>
      <c r="BN158" t="s">
        <v>54</v>
      </c>
      <c r="BO158" s="576">
        <v>55416</v>
      </c>
      <c r="BP158" t="s">
        <v>749</v>
      </c>
      <c r="BQ158" t="s">
        <v>1554</v>
      </c>
      <c r="BR158" t="s">
        <v>1555</v>
      </c>
      <c r="BS158" t="s">
        <v>1556</v>
      </c>
      <c r="BT158" t="s">
        <v>1559</v>
      </c>
      <c r="BU158">
        <v>9524446219</v>
      </c>
      <c r="BV158"/>
      <c r="BW158">
        <v>6128712012</v>
      </c>
      <c r="BX158" t="s">
        <v>1557</v>
      </c>
      <c r="BY158" t="s">
        <v>1560</v>
      </c>
      <c r="BZ158" t="s">
        <v>831</v>
      </c>
      <c r="CA158" t="s">
        <v>871</v>
      </c>
      <c r="CB158" t="s">
        <v>744</v>
      </c>
      <c r="CC158" t="s">
        <v>54</v>
      </c>
      <c r="CD158" s="576">
        <v>55416</v>
      </c>
      <c r="CE158" t="s">
        <v>749</v>
      </c>
      <c r="CF158" t="s">
        <v>1570</v>
      </c>
      <c r="CG158" t="s">
        <v>1571</v>
      </c>
      <c r="CH158" t="s">
        <v>141</v>
      </c>
      <c r="CI158"/>
      <c r="CJ158"/>
      <c r="CK158"/>
      <c r="CL158"/>
      <c r="CM158">
        <v>1336175744</v>
      </c>
      <c r="CN158">
        <v>376</v>
      </c>
      <c r="CO158">
        <v>199</v>
      </c>
      <c r="CP158">
        <v>197</v>
      </c>
      <c r="CQ158">
        <v>254</v>
      </c>
      <c r="CR158">
        <v>199</v>
      </c>
      <c r="CS158" t="s">
        <v>788</v>
      </c>
      <c r="CT158">
        <v>12</v>
      </c>
      <c r="CU158"/>
      <c r="CV158"/>
      <c r="CW158"/>
      <c r="CX158" t="s">
        <v>749</v>
      </c>
      <c r="CY158"/>
      <c r="CZ158" t="s">
        <v>749</v>
      </c>
      <c r="DA158" t="s">
        <v>749</v>
      </c>
      <c r="DB158" t="s">
        <v>749</v>
      </c>
      <c r="DC158" t="s">
        <v>749</v>
      </c>
      <c r="DD158"/>
      <c r="DE158"/>
      <c r="DF158"/>
      <c r="DG158"/>
      <c r="DH158"/>
      <c r="DI158"/>
      <c r="DJ158"/>
      <c r="DK158"/>
      <c r="DL158"/>
      <c r="DM158"/>
      <c r="DN158">
        <v>133</v>
      </c>
      <c r="DO158" t="s">
        <v>750</v>
      </c>
      <c r="DP158"/>
      <c r="DQ158"/>
      <c r="DR158"/>
      <c r="DS158"/>
      <c r="DT158"/>
      <c r="DU158"/>
      <c r="DV158"/>
      <c r="DW158"/>
      <c r="DX158"/>
      <c r="DY158"/>
      <c r="DZ158"/>
      <c r="EA158"/>
      <c r="EB158"/>
      <c r="EC158"/>
      <c r="ED158"/>
      <c r="EE158"/>
      <c r="EF158"/>
      <c r="EG158"/>
      <c r="EH158"/>
      <c r="EI158"/>
      <c r="EJ158"/>
      <c r="EK158"/>
      <c r="EL158"/>
      <c r="EM158"/>
      <c r="EN158"/>
      <c r="EO158"/>
      <c r="EP158"/>
      <c r="EQ158"/>
      <c r="ER158">
        <v>101</v>
      </c>
      <c r="ES158"/>
      <c r="ET158"/>
      <c r="EU158"/>
      <c r="EV158" s="439">
        <v>1414</v>
      </c>
      <c r="EW158" t="s">
        <v>2380</v>
      </c>
      <c r="EX158" t="s">
        <v>2340</v>
      </c>
      <c r="EY158" t="s">
        <v>2341</v>
      </c>
      <c r="EZ158" t="s">
        <v>813</v>
      </c>
      <c r="FA158">
        <v>53527</v>
      </c>
      <c r="FB158">
        <v>1295785079</v>
      </c>
    </row>
    <row r="159" spans="1:158" x14ac:dyDescent="0.2">
      <c r="A159" s="439">
        <v>700</v>
      </c>
      <c r="B159" t="s">
        <v>1572</v>
      </c>
      <c r="C159" t="s">
        <v>871</v>
      </c>
      <c r="D159" t="s">
        <v>1560</v>
      </c>
      <c r="E159" t="s">
        <v>831</v>
      </c>
      <c r="F159" t="s">
        <v>744</v>
      </c>
      <c r="G159" t="s">
        <v>54</v>
      </c>
      <c r="H159" s="576">
        <v>55416</v>
      </c>
      <c r="I159" s="576">
        <v>3711</v>
      </c>
      <c r="J159" t="s">
        <v>1560</v>
      </c>
      <c r="K159" t="s">
        <v>831</v>
      </c>
      <c r="L159" t="s">
        <v>871</v>
      </c>
      <c r="M159" t="s">
        <v>744</v>
      </c>
      <c r="N159" t="s">
        <v>54</v>
      </c>
      <c r="O159" s="576">
        <v>55416</v>
      </c>
      <c r="P159" s="576">
        <v>3711</v>
      </c>
      <c r="Q159">
        <v>6128711144</v>
      </c>
      <c r="R159">
        <v>6128712012</v>
      </c>
      <c r="S159" t="s">
        <v>1554</v>
      </c>
      <c r="T159" t="s">
        <v>1555</v>
      </c>
      <c r="U159" t="s">
        <v>1556</v>
      </c>
      <c r="V159" t="s">
        <v>1557</v>
      </c>
      <c r="W159" t="s">
        <v>1573</v>
      </c>
      <c r="X159" t="s">
        <v>1554</v>
      </c>
      <c r="Y159" t="s">
        <v>1555</v>
      </c>
      <c r="Z159" t="s">
        <v>1556</v>
      </c>
      <c r="AA159" t="s">
        <v>1559</v>
      </c>
      <c r="AB159">
        <v>9524446219</v>
      </c>
      <c r="AC159"/>
      <c r="AD159">
        <v>6128712012</v>
      </c>
      <c r="AE159" t="s">
        <v>1557</v>
      </c>
      <c r="AF159" t="s">
        <v>1560</v>
      </c>
      <c r="AG159" t="s">
        <v>831</v>
      </c>
      <c r="AH159" t="s">
        <v>871</v>
      </c>
      <c r="AI159" t="s">
        <v>744</v>
      </c>
      <c r="AJ159" t="s">
        <v>54</v>
      </c>
      <c r="AK159" s="576">
        <v>55416</v>
      </c>
      <c r="AL159" t="s">
        <v>749</v>
      </c>
      <c r="AM159" t="s">
        <v>1561</v>
      </c>
      <c r="AN159" t="s">
        <v>1562</v>
      </c>
      <c r="AO159" t="s">
        <v>1563</v>
      </c>
      <c r="AP159" t="s">
        <v>1564</v>
      </c>
      <c r="AQ159">
        <v>9522324416</v>
      </c>
      <c r="AR159"/>
      <c r="AS159">
        <v>6128712012</v>
      </c>
      <c r="AT159" t="s">
        <v>1565</v>
      </c>
      <c r="AU159" t="s">
        <v>1560</v>
      </c>
      <c r="AV159" t="s">
        <v>831</v>
      </c>
      <c r="AW159" t="s">
        <v>871</v>
      </c>
      <c r="AX159" t="s">
        <v>744</v>
      </c>
      <c r="AY159" t="s">
        <v>54</v>
      </c>
      <c r="AZ159" s="576">
        <v>55416</v>
      </c>
      <c r="BA159" s="576">
        <v>3711</v>
      </c>
      <c r="BB159" t="s">
        <v>1566</v>
      </c>
      <c r="BC159" t="s">
        <v>1567</v>
      </c>
      <c r="BD159" t="s">
        <v>1568</v>
      </c>
      <c r="BE159" t="s">
        <v>1559</v>
      </c>
      <c r="BF159">
        <v>9522320092</v>
      </c>
      <c r="BG159"/>
      <c r="BH159">
        <v>6128712012</v>
      </c>
      <c r="BI159" t="s">
        <v>1569</v>
      </c>
      <c r="BJ159" t="s">
        <v>1560</v>
      </c>
      <c r="BK159" t="s">
        <v>831</v>
      </c>
      <c r="BL159" t="s">
        <v>871</v>
      </c>
      <c r="BM159" t="s">
        <v>744</v>
      </c>
      <c r="BN159" t="s">
        <v>54</v>
      </c>
      <c r="BO159" s="576">
        <v>55416</v>
      </c>
      <c r="BP159" t="s">
        <v>749</v>
      </c>
      <c r="BQ159" t="s">
        <v>1554</v>
      </c>
      <c r="BR159" t="s">
        <v>1555</v>
      </c>
      <c r="BS159" t="s">
        <v>1556</v>
      </c>
      <c r="BT159" t="s">
        <v>1559</v>
      </c>
      <c r="BU159">
        <v>9524446219</v>
      </c>
      <c r="BV159"/>
      <c r="BW159">
        <v>6128712012</v>
      </c>
      <c r="BX159" t="s">
        <v>1557</v>
      </c>
      <c r="BY159" t="s">
        <v>1560</v>
      </c>
      <c r="BZ159" t="s">
        <v>831</v>
      </c>
      <c r="CA159" t="s">
        <v>871</v>
      </c>
      <c r="CB159" t="s">
        <v>744</v>
      </c>
      <c r="CC159" t="s">
        <v>54</v>
      </c>
      <c r="CD159" s="576">
        <v>55416</v>
      </c>
      <c r="CE159" t="s">
        <v>749</v>
      </c>
      <c r="CF159" t="s">
        <v>1570</v>
      </c>
      <c r="CG159" t="s">
        <v>1571</v>
      </c>
      <c r="CH159" t="s">
        <v>141</v>
      </c>
      <c r="CI159"/>
      <c r="CJ159"/>
      <c r="CK159"/>
      <c r="CL159"/>
      <c r="CM159">
        <v>1336175744</v>
      </c>
      <c r="CN159">
        <v>375</v>
      </c>
      <c r="CO159">
        <v>199</v>
      </c>
      <c r="CP159">
        <v>197</v>
      </c>
      <c r="CQ159">
        <v>254</v>
      </c>
      <c r="CR159">
        <v>199</v>
      </c>
      <c r="CS159" t="s">
        <v>788</v>
      </c>
      <c r="CT159">
        <v>12</v>
      </c>
      <c r="CU159"/>
      <c r="CV159"/>
      <c r="CW159"/>
      <c r="CX159"/>
      <c r="CY159"/>
      <c r="CZ159"/>
      <c r="DA159"/>
      <c r="DB159"/>
      <c r="DC159"/>
      <c r="DD159"/>
      <c r="DE159"/>
      <c r="DF159"/>
      <c r="DG159"/>
      <c r="DH159"/>
      <c r="DI159"/>
      <c r="DJ159"/>
      <c r="DK159"/>
      <c r="DL159"/>
      <c r="DM159"/>
      <c r="DN159">
        <v>133</v>
      </c>
      <c r="DO159" t="s">
        <v>1574</v>
      </c>
      <c r="DP159"/>
      <c r="DQ159"/>
      <c r="DR159"/>
      <c r="DS159"/>
      <c r="DT159"/>
      <c r="DU159"/>
      <c r="DV159"/>
      <c r="DW159"/>
      <c r="DX159"/>
      <c r="DY159"/>
      <c r="DZ159"/>
      <c r="EA159"/>
      <c r="EB159"/>
      <c r="EC159"/>
      <c r="ED159"/>
      <c r="EE159"/>
      <c r="EF159"/>
      <c r="EG159"/>
      <c r="EH159"/>
      <c r="EI159"/>
      <c r="EJ159"/>
      <c r="EK159"/>
      <c r="EL159"/>
      <c r="EM159"/>
      <c r="EN159"/>
      <c r="EO159"/>
      <c r="EP159"/>
      <c r="EQ159"/>
      <c r="ER159">
        <v>101</v>
      </c>
      <c r="ES159"/>
      <c r="ET159"/>
      <c r="EU159"/>
      <c r="EV159" s="439">
        <v>1688</v>
      </c>
      <c r="EW159" t="s">
        <v>2381</v>
      </c>
      <c r="EX159" t="s">
        <v>2340</v>
      </c>
      <c r="EY159" t="s">
        <v>2341</v>
      </c>
      <c r="EZ159" t="s">
        <v>813</v>
      </c>
      <c r="FA159">
        <v>53527</v>
      </c>
      <c r="FB159">
        <v>1295785079</v>
      </c>
    </row>
    <row r="160" spans="1:158" x14ac:dyDescent="0.2">
      <c r="A160" s="439">
        <v>1949</v>
      </c>
      <c r="B160" t="s">
        <v>1575</v>
      </c>
      <c r="C160" t="s">
        <v>1078</v>
      </c>
      <c r="D160" t="s">
        <v>1576</v>
      </c>
      <c r="E160" t="s">
        <v>1577</v>
      </c>
      <c r="F160" t="s">
        <v>1224</v>
      </c>
      <c r="G160" t="s">
        <v>54</v>
      </c>
      <c r="H160" s="576">
        <v>55744</v>
      </c>
      <c r="I160"/>
      <c r="J160" t="s">
        <v>1576</v>
      </c>
      <c r="K160" t="s">
        <v>1577</v>
      </c>
      <c r="L160" t="s">
        <v>1078</v>
      </c>
      <c r="M160" t="s">
        <v>1224</v>
      </c>
      <c r="N160" t="s">
        <v>54</v>
      </c>
      <c r="O160" s="576">
        <v>55744</v>
      </c>
      <c r="P160" t="s">
        <v>749</v>
      </c>
      <c r="Q160">
        <v>2183224868</v>
      </c>
      <c r="R160">
        <v>2183224893</v>
      </c>
      <c r="S160" t="s">
        <v>1578</v>
      </c>
      <c r="T160" t="s">
        <v>1579</v>
      </c>
      <c r="U160" t="s">
        <v>1092</v>
      </c>
      <c r="V160" t="s">
        <v>1580</v>
      </c>
      <c r="W160" t="s">
        <v>1581</v>
      </c>
      <c r="X160" t="s">
        <v>1582</v>
      </c>
      <c r="Y160" t="s">
        <v>1583</v>
      </c>
      <c r="Z160" t="s">
        <v>995</v>
      </c>
      <c r="AA160" t="s">
        <v>1575</v>
      </c>
      <c r="AB160">
        <v>2183224868</v>
      </c>
      <c r="AC160"/>
      <c r="AD160"/>
      <c r="AE160" t="s">
        <v>1584</v>
      </c>
      <c r="AF160" t="s">
        <v>1576</v>
      </c>
      <c r="AG160" t="s">
        <v>1577</v>
      </c>
      <c r="AH160" t="s">
        <v>1078</v>
      </c>
      <c r="AI160" t="s">
        <v>1224</v>
      </c>
      <c r="AJ160" t="s">
        <v>54</v>
      </c>
      <c r="AK160" s="576">
        <v>55744</v>
      </c>
      <c r="AL160" t="s">
        <v>749</v>
      </c>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t="s">
        <v>749</v>
      </c>
      <c r="CG160" t="s">
        <v>1585</v>
      </c>
      <c r="CH160" t="s">
        <v>141</v>
      </c>
      <c r="CI160"/>
      <c r="CJ160"/>
      <c r="CK160"/>
      <c r="CL160"/>
      <c r="CM160"/>
      <c r="CN160">
        <v>1524</v>
      </c>
      <c r="CO160">
        <v>160</v>
      </c>
      <c r="CP160"/>
      <c r="CQ160"/>
      <c r="CR160"/>
      <c r="CS160" t="s">
        <v>862</v>
      </c>
      <c r="CT160">
        <v>12</v>
      </c>
      <c r="CU160"/>
      <c r="CV160"/>
      <c r="CW160"/>
      <c r="CX160"/>
      <c r="CY160"/>
      <c r="CZ160"/>
      <c r="DA160"/>
      <c r="DB160"/>
      <c r="DC160"/>
      <c r="DD160"/>
      <c r="DE160"/>
      <c r="DF160"/>
      <c r="DG160"/>
      <c r="DH160">
        <v>129</v>
      </c>
      <c r="DI160" t="s">
        <v>1586</v>
      </c>
      <c r="DJ160"/>
      <c r="DK160"/>
      <c r="DL160"/>
      <c r="DM160"/>
      <c r="DN160"/>
      <c r="DO160"/>
      <c r="DP160"/>
      <c r="DQ160"/>
      <c r="DR160"/>
      <c r="DS160"/>
      <c r="DT160"/>
      <c r="DU160"/>
      <c r="DV160"/>
      <c r="DW160"/>
      <c r="DX160"/>
      <c r="DY160"/>
      <c r="DZ160"/>
      <c r="EA160"/>
      <c r="EB160"/>
      <c r="EC160"/>
      <c r="ED160"/>
      <c r="EE160"/>
      <c r="EF160"/>
      <c r="EG160"/>
      <c r="EH160"/>
      <c r="EI160"/>
      <c r="EJ160"/>
      <c r="EK160"/>
      <c r="EL160"/>
      <c r="EM160"/>
      <c r="EN160"/>
      <c r="EO160"/>
      <c r="EP160"/>
      <c r="EQ160"/>
      <c r="ER160">
        <v>105</v>
      </c>
      <c r="ES160"/>
      <c r="ET160"/>
      <c r="EU160"/>
      <c r="EV160" s="439">
        <v>1699</v>
      </c>
      <c r="EW160" t="s">
        <v>2382</v>
      </c>
      <c r="EX160" t="s">
        <v>2340</v>
      </c>
      <c r="EY160" t="s">
        <v>2341</v>
      </c>
      <c r="EZ160" t="s">
        <v>813</v>
      </c>
      <c r="FA160">
        <v>53527</v>
      </c>
      <c r="FB160">
        <v>1295785079</v>
      </c>
    </row>
    <row r="161" spans="1:158" x14ac:dyDescent="0.2">
      <c r="A161" s="439">
        <v>596</v>
      </c>
      <c r="B161" t="s">
        <v>1587</v>
      </c>
      <c r="C161" t="s">
        <v>1282</v>
      </c>
      <c r="D161" t="s">
        <v>1588</v>
      </c>
      <c r="E161"/>
      <c r="F161" t="s">
        <v>1023</v>
      </c>
      <c r="G161" t="s">
        <v>54</v>
      </c>
      <c r="H161" s="576">
        <v>55746</v>
      </c>
      <c r="I161"/>
      <c r="J161" t="s">
        <v>1588</v>
      </c>
      <c r="K161"/>
      <c r="L161" t="s">
        <v>1282</v>
      </c>
      <c r="M161" t="s">
        <v>1023</v>
      </c>
      <c r="N161" t="s">
        <v>54</v>
      </c>
      <c r="O161" s="576">
        <v>55746</v>
      </c>
      <c r="P161"/>
      <c r="Q161">
        <v>2182623425</v>
      </c>
      <c r="R161">
        <v>2182625670</v>
      </c>
      <c r="S161" t="s">
        <v>1589</v>
      </c>
      <c r="T161" t="s">
        <v>1590</v>
      </c>
      <c r="U161" t="s">
        <v>1591</v>
      </c>
      <c r="V161" t="s">
        <v>1592</v>
      </c>
      <c r="W161" t="s">
        <v>1581</v>
      </c>
      <c r="X161" t="s">
        <v>1593</v>
      </c>
      <c r="Y161" t="s">
        <v>1594</v>
      </c>
      <c r="Z161" t="s">
        <v>1160</v>
      </c>
      <c r="AA161" t="s">
        <v>1587</v>
      </c>
      <c r="AB161">
        <v>2187499431</v>
      </c>
      <c r="AC161"/>
      <c r="AD161">
        <v>2187499587</v>
      </c>
      <c r="AE161" t="s">
        <v>1595</v>
      </c>
      <c r="AF161" t="s">
        <v>1588</v>
      </c>
      <c r="AG161"/>
      <c r="AH161" t="s">
        <v>1282</v>
      </c>
      <c r="AI161" t="s">
        <v>1023</v>
      </c>
      <c r="AJ161" t="s">
        <v>54</v>
      </c>
      <c r="AK161" s="576">
        <v>55746</v>
      </c>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t="s">
        <v>1585</v>
      </c>
      <c r="CH161" t="s">
        <v>56</v>
      </c>
      <c r="CI161"/>
      <c r="CJ161"/>
      <c r="CK161"/>
      <c r="CL161"/>
      <c r="CM161">
        <v>1780621508</v>
      </c>
      <c r="CN161">
        <v>2971</v>
      </c>
      <c r="CO161">
        <v>3050</v>
      </c>
      <c r="CP161"/>
      <c r="CQ161"/>
      <c r="CR161"/>
      <c r="CS161" t="s">
        <v>862</v>
      </c>
      <c r="CT161">
        <v>12</v>
      </c>
      <c r="CU161"/>
      <c r="CV161"/>
      <c r="CW161"/>
      <c r="CX161"/>
      <c r="CY161"/>
      <c r="CZ161"/>
      <c r="DA161"/>
      <c r="DB161"/>
      <c r="DC161"/>
      <c r="DD161">
        <v>128</v>
      </c>
      <c r="DE161" t="s">
        <v>1596</v>
      </c>
      <c r="DF161"/>
      <c r="DG161"/>
      <c r="DH161">
        <v>129</v>
      </c>
      <c r="DI161" t="s">
        <v>1597</v>
      </c>
      <c r="DJ161"/>
      <c r="DK161"/>
      <c r="DL161"/>
      <c r="DM161"/>
      <c r="DN161"/>
      <c r="DO161"/>
      <c r="DP161"/>
      <c r="DQ161"/>
      <c r="DR161"/>
      <c r="DS161"/>
      <c r="DT161">
        <v>141</v>
      </c>
      <c r="DU161"/>
      <c r="DV161"/>
      <c r="DW161"/>
      <c r="DX161">
        <v>135</v>
      </c>
      <c r="DY161"/>
      <c r="DZ161"/>
      <c r="EA161"/>
      <c r="EB161"/>
      <c r="EC161"/>
      <c r="ED161"/>
      <c r="EE161"/>
      <c r="EF161"/>
      <c r="EG161"/>
      <c r="EH161"/>
      <c r="EI161"/>
      <c r="EJ161"/>
      <c r="EK161"/>
      <c r="EL161"/>
      <c r="EM161"/>
      <c r="EN161"/>
      <c r="EO161"/>
      <c r="EP161"/>
      <c r="EQ161"/>
      <c r="ER161">
        <v>105</v>
      </c>
      <c r="ES161"/>
      <c r="ET161"/>
      <c r="EU161"/>
      <c r="EV161" s="439">
        <v>1438</v>
      </c>
      <c r="EW161" t="s">
        <v>2383</v>
      </c>
      <c r="EX161" t="s">
        <v>2340</v>
      </c>
      <c r="EY161" t="s">
        <v>2341</v>
      </c>
      <c r="EZ161" t="s">
        <v>813</v>
      </c>
      <c r="FA161">
        <v>53527</v>
      </c>
      <c r="FB161">
        <v>1295785079</v>
      </c>
    </row>
    <row r="162" spans="1:158" x14ac:dyDescent="0.2">
      <c r="A162" s="439">
        <v>1266</v>
      </c>
      <c r="B162" t="s">
        <v>1598</v>
      </c>
      <c r="C162" t="s">
        <v>1343</v>
      </c>
      <c r="D162" t="s">
        <v>1599</v>
      </c>
      <c r="E162"/>
      <c r="F162" t="s">
        <v>1345</v>
      </c>
      <c r="G162" t="s">
        <v>54</v>
      </c>
      <c r="H162" s="576">
        <v>56649</v>
      </c>
      <c r="I162"/>
      <c r="J162" t="s">
        <v>1599</v>
      </c>
      <c r="K162"/>
      <c r="L162" t="s">
        <v>1343</v>
      </c>
      <c r="M162" t="s">
        <v>1345</v>
      </c>
      <c r="N162" t="s">
        <v>54</v>
      </c>
      <c r="O162" s="576">
        <v>56649</v>
      </c>
      <c r="P162"/>
      <c r="Q162">
        <v>2182839431</v>
      </c>
      <c r="R162">
        <v>2182856240</v>
      </c>
      <c r="S162" t="s">
        <v>1600</v>
      </c>
      <c r="T162" t="s">
        <v>1601</v>
      </c>
      <c r="U162" t="s">
        <v>1602</v>
      </c>
      <c r="V162" t="s">
        <v>1603</v>
      </c>
      <c r="W162"/>
      <c r="X162" t="s">
        <v>1593</v>
      </c>
      <c r="Y162" t="s">
        <v>1594</v>
      </c>
      <c r="Z162" t="s">
        <v>1160</v>
      </c>
      <c r="AA162" t="s">
        <v>1585</v>
      </c>
      <c r="AB162">
        <v>2187499431</v>
      </c>
      <c r="AC162"/>
      <c r="AD162">
        <v>2187499587</v>
      </c>
      <c r="AE162" t="s">
        <v>1595</v>
      </c>
      <c r="AF162" t="s">
        <v>1604</v>
      </c>
      <c r="AG162"/>
      <c r="AH162" t="s">
        <v>1605</v>
      </c>
      <c r="AI162" t="s">
        <v>1023</v>
      </c>
      <c r="AJ162" t="s">
        <v>54</v>
      </c>
      <c r="AK162" s="576">
        <v>55792</v>
      </c>
      <c r="AL162"/>
      <c r="AM162" t="s">
        <v>1600</v>
      </c>
      <c r="AN162" t="s">
        <v>1601</v>
      </c>
      <c r="AO162" t="s">
        <v>1602</v>
      </c>
      <c r="AP162" t="s">
        <v>1598</v>
      </c>
      <c r="AQ162">
        <v>2182839431</v>
      </c>
      <c r="AR162"/>
      <c r="AS162">
        <v>2182856240</v>
      </c>
      <c r="AT162" t="s">
        <v>1603</v>
      </c>
      <c r="AU162" t="s">
        <v>1599</v>
      </c>
      <c r="AV162"/>
      <c r="AW162" t="s">
        <v>1343</v>
      </c>
      <c r="AX162" t="s">
        <v>1345</v>
      </c>
      <c r="AY162" t="s">
        <v>54</v>
      </c>
      <c r="AZ162" s="576">
        <v>56649</v>
      </c>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t="s">
        <v>1585</v>
      </c>
      <c r="CH162" t="s">
        <v>56</v>
      </c>
      <c r="CI162"/>
      <c r="CJ162"/>
      <c r="CK162"/>
      <c r="CL162"/>
      <c r="CM162"/>
      <c r="CN162">
        <v>2940</v>
      </c>
      <c r="CO162">
        <v>2941</v>
      </c>
      <c r="CP162">
        <v>2297</v>
      </c>
      <c r="CQ162"/>
      <c r="CR162"/>
      <c r="CS162" t="s">
        <v>862</v>
      </c>
      <c r="CT162">
        <v>12</v>
      </c>
      <c r="CU162"/>
      <c r="CV162"/>
      <c r="CW162"/>
      <c r="CX162"/>
      <c r="CY162"/>
      <c r="CZ162"/>
      <c r="DA162"/>
      <c r="DB162"/>
      <c r="DC162"/>
      <c r="DD162">
        <v>128</v>
      </c>
      <c r="DE162" t="s">
        <v>1596</v>
      </c>
      <c r="DF162"/>
      <c r="DG162"/>
      <c r="DH162">
        <v>129</v>
      </c>
      <c r="DI162" t="s">
        <v>1586</v>
      </c>
      <c r="DJ162"/>
      <c r="DK162"/>
      <c r="DL162"/>
      <c r="DM162"/>
      <c r="DN162"/>
      <c r="DO162"/>
      <c r="DP162"/>
      <c r="DQ162"/>
      <c r="DR162"/>
      <c r="DS162"/>
      <c r="DT162">
        <v>141</v>
      </c>
      <c r="DU162"/>
      <c r="DV162"/>
      <c r="DW162"/>
      <c r="DX162">
        <v>135</v>
      </c>
      <c r="DY162"/>
      <c r="DZ162"/>
      <c r="EA162"/>
      <c r="EB162"/>
      <c r="EC162"/>
      <c r="ED162"/>
      <c r="EE162"/>
      <c r="EF162"/>
      <c r="EG162"/>
      <c r="EH162"/>
      <c r="EI162"/>
      <c r="EJ162"/>
      <c r="EK162"/>
      <c r="EL162"/>
      <c r="EM162"/>
      <c r="EN162"/>
      <c r="EO162"/>
      <c r="EP162"/>
      <c r="EQ162"/>
      <c r="ER162">
        <v>105</v>
      </c>
      <c r="ES162"/>
      <c r="ET162"/>
      <c r="EU162"/>
      <c r="EV162" s="439">
        <v>1683</v>
      </c>
      <c r="EW162" t="s">
        <v>2384</v>
      </c>
      <c r="EX162" t="s">
        <v>2340</v>
      </c>
      <c r="EY162" t="s">
        <v>2341</v>
      </c>
      <c r="EZ162" t="s">
        <v>813</v>
      </c>
      <c r="FA162">
        <v>53527</v>
      </c>
      <c r="FB162">
        <v>1295785079</v>
      </c>
    </row>
    <row r="163" spans="1:158" x14ac:dyDescent="0.2">
      <c r="A163" s="439">
        <v>509</v>
      </c>
      <c r="B163" t="s">
        <v>1606</v>
      </c>
      <c r="C163" t="s">
        <v>1607</v>
      </c>
      <c r="D163" t="s">
        <v>1608</v>
      </c>
      <c r="E163"/>
      <c r="F163" t="s">
        <v>727</v>
      </c>
      <c r="G163" t="s">
        <v>54</v>
      </c>
      <c r="H163" s="576">
        <v>56401</v>
      </c>
      <c r="I163"/>
      <c r="J163" t="s">
        <v>1608</v>
      </c>
      <c r="K163"/>
      <c r="L163" t="s">
        <v>1607</v>
      </c>
      <c r="M163" t="s">
        <v>727</v>
      </c>
      <c r="N163" t="s">
        <v>54</v>
      </c>
      <c r="O163" s="576">
        <v>56401</v>
      </c>
      <c r="P163"/>
      <c r="Q163">
        <v>2188226736</v>
      </c>
      <c r="R163">
        <v>2188223758</v>
      </c>
      <c r="S163" t="s">
        <v>1609</v>
      </c>
      <c r="T163" t="s">
        <v>1610</v>
      </c>
      <c r="U163" t="s">
        <v>1611</v>
      </c>
      <c r="V163" t="s">
        <v>1612</v>
      </c>
      <c r="W163" t="s">
        <v>1581</v>
      </c>
      <c r="X163" t="s">
        <v>1609</v>
      </c>
      <c r="Y163" t="s">
        <v>1610</v>
      </c>
      <c r="Z163" t="s">
        <v>1611</v>
      </c>
      <c r="AA163" t="s">
        <v>1606</v>
      </c>
      <c r="AB163">
        <v>2188287661</v>
      </c>
      <c r="AC163"/>
      <c r="AD163"/>
      <c r="AE163" t="s">
        <v>1612</v>
      </c>
      <c r="AF163" t="s">
        <v>1608</v>
      </c>
      <c r="AG163"/>
      <c r="AH163" t="s">
        <v>1607</v>
      </c>
      <c r="AI163" t="s">
        <v>727</v>
      </c>
      <c r="AJ163" t="s">
        <v>54</v>
      </c>
      <c r="AK163" s="576">
        <v>56401</v>
      </c>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t="s">
        <v>1609</v>
      </c>
      <c r="BR163" t="s">
        <v>1610</v>
      </c>
      <c r="BS163" t="s">
        <v>1611</v>
      </c>
      <c r="BT163" t="s">
        <v>1606</v>
      </c>
      <c r="BU163">
        <v>2188287661</v>
      </c>
      <c r="BV163"/>
      <c r="BW163"/>
      <c r="BX163" t="s">
        <v>1612</v>
      </c>
      <c r="BY163" t="s">
        <v>1608</v>
      </c>
      <c r="BZ163"/>
      <c r="CA163" t="s">
        <v>1607</v>
      </c>
      <c r="CB163" t="s">
        <v>727</v>
      </c>
      <c r="CC163" t="s">
        <v>54</v>
      </c>
      <c r="CD163" s="576">
        <v>56401</v>
      </c>
      <c r="CE163"/>
      <c r="CF163" t="s">
        <v>749</v>
      </c>
      <c r="CG163" t="s">
        <v>1585</v>
      </c>
      <c r="CH163" t="s">
        <v>141</v>
      </c>
      <c r="CI163"/>
      <c r="CJ163"/>
      <c r="CK163"/>
      <c r="CL163"/>
      <c r="CM163">
        <v>1639648348</v>
      </c>
      <c r="CN163">
        <v>449</v>
      </c>
      <c r="CO163">
        <v>166</v>
      </c>
      <c r="CP163"/>
      <c r="CQ163"/>
      <c r="CR163">
        <v>166</v>
      </c>
      <c r="CS163" t="s">
        <v>862</v>
      </c>
      <c r="CT163">
        <v>12</v>
      </c>
      <c r="CU163">
        <v>127</v>
      </c>
      <c r="CV163"/>
      <c r="CW163"/>
      <c r="CX163"/>
      <c r="CY163"/>
      <c r="CZ163"/>
      <c r="DA163"/>
      <c r="DB163"/>
      <c r="DC163"/>
      <c r="DD163">
        <v>128</v>
      </c>
      <c r="DE163" t="s">
        <v>1613</v>
      </c>
      <c r="DF163"/>
      <c r="DG163"/>
      <c r="DH163"/>
      <c r="DI163"/>
      <c r="DJ163"/>
      <c r="DK163"/>
      <c r="DL163"/>
      <c r="DM163"/>
      <c r="DN163"/>
      <c r="DO163"/>
      <c r="DP163"/>
      <c r="DQ163"/>
      <c r="DR163"/>
      <c r="DS163"/>
      <c r="DT163"/>
      <c r="DU163"/>
      <c r="DV163"/>
      <c r="DW163"/>
      <c r="DX163"/>
      <c r="DY163"/>
      <c r="DZ163"/>
      <c r="EA163"/>
      <c r="EB163"/>
      <c r="EC163"/>
      <c r="ED163"/>
      <c r="EE163"/>
      <c r="EF163"/>
      <c r="EG163"/>
      <c r="EH163"/>
      <c r="EI163"/>
      <c r="EJ163"/>
      <c r="EK163"/>
      <c r="EL163"/>
      <c r="EM163"/>
      <c r="EN163"/>
      <c r="EO163"/>
      <c r="EP163"/>
      <c r="EQ163"/>
      <c r="ER163">
        <v>105</v>
      </c>
      <c r="ES163"/>
      <c r="ET163"/>
      <c r="EU163"/>
      <c r="EV163" s="439">
        <v>1684</v>
      </c>
      <c r="EW163" t="s">
        <v>2385</v>
      </c>
      <c r="EX163" t="s">
        <v>2340</v>
      </c>
      <c r="EY163" t="s">
        <v>2341</v>
      </c>
      <c r="EZ163" t="s">
        <v>813</v>
      </c>
      <c r="FA163">
        <v>53527</v>
      </c>
      <c r="FB163">
        <v>1295785079</v>
      </c>
    </row>
    <row r="164" spans="1:158" x14ac:dyDescent="0.2">
      <c r="A164" s="439">
        <v>1474</v>
      </c>
      <c r="B164" t="s">
        <v>1614</v>
      </c>
      <c r="C164" t="s">
        <v>1255</v>
      </c>
      <c r="D164" t="s">
        <v>1615</v>
      </c>
      <c r="E164" t="s">
        <v>749</v>
      </c>
      <c r="F164"/>
      <c r="G164" t="s">
        <v>54</v>
      </c>
      <c r="H164" s="576">
        <v>56470</v>
      </c>
      <c r="I164" t="s">
        <v>749</v>
      </c>
      <c r="J164" t="s">
        <v>1615</v>
      </c>
      <c r="K164" t="s">
        <v>749</v>
      </c>
      <c r="L164" t="s">
        <v>1255</v>
      </c>
      <c r="M164" t="s">
        <v>749</v>
      </c>
      <c r="N164" t="s">
        <v>54</v>
      </c>
      <c r="O164" s="576">
        <v>56470</v>
      </c>
      <c r="P164" t="s">
        <v>749</v>
      </c>
      <c r="Q164">
        <v>2187326300</v>
      </c>
      <c r="R164"/>
      <c r="S164" t="s">
        <v>1616</v>
      </c>
      <c r="T164" t="s">
        <v>1617</v>
      </c>
      <c r="U164" t="s">
        <v>1205</v>
      </c>
      <c r="V164" t="s">
        <v>1618</v>
      </c>
      <c r="W164" t="s">
        <v>1619</v>
      </c>
      <c r="X164" t="s">
        <v>1620</v>
      </c>
      <c r="Y164" t="s">
        <v>1621</v>
      </c>
      <c r="Z164" t="s">
        <v>1622</v>
      </c>
      <c r="AA164" t="s">
        <v>1614</v>
      </c>
      <c r="AB164">
        <v>2187326300</v>
      </c>
      <c r="AC164"/>
      <c r="AD164"/>
      <c r="AE164" t="s">
        <v>1623</v>
      </c>
      <c r="AF164" t="s">
        <v>1615</v>
      </c>
      <c r="AG164" t="s">
        <v>749</v>
      </c>
      <c r="AH164" t="s">
        <v>1255</v>
      </c>
      <c r="AI164" t="s">
        <v>749</v>
      </c>
      <c r="AJ164" t="s">
        <v>54</v>
      </c>
      <c r="AK164" s="576">
        <v>56470</v>
      </c>
      <c r="AL164" t="s">
        <v>749</v>
      </c>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t="s">
        <v>1624</v>
      </c>
      <c r="CG164" t="s">
        <v>1585</v>
      </c>
      <c r="CH164" t="s">
        <v>141</v>
      </c>
      <c r="CI164"/>
      <c r="CJ164"/>
      <c r="CK164"/>
      <c r="CL164"/>
      <c r="CM164">
        <v>1730706656</v>
      </c>
      <c r="CN164">
        <v>1668</v>
      </c>
      <c r="CO164">
        <v>1667</v>
      </c>
      <c r="CP164"/>
      <c r="CQ164"/>
      <c r="CR164"/>
      <c r="CS164" t="s">
        <v>862</v>
      </c>
      <c r="CT164">
        <v>12</v>
      </c>
      <c r="CU164"/>
      <c r="CV164"/>
      <c r="CW164"/>
      <c r="CX164" t="s">
        <v>749</v>
      </c>
      <c r="CY164"/>
      <c r="CZ164" t="s">
        <v>749</v>
      </c>
      <c r="DA164" t="s">
        <v>749</v>
      </c>
      <c r="DB164" t="s">
        <v>749</v>
      </c>
      <c r="DC164" t="s">
        <v>749</v>
      </c>
      <c r="DD164">
        <v>128</v>
      </c>
      <c r="DE164" t="s">
        <v>1625</v>
      </c>
      <c r="DF164"/>
      <c r="DG164"/>
      <c r="DH164"/>
      <c r="DI164"/>
      <c r="DJ164"/>
      <c r="DK164"/>
      <c r="DL164"/>
      <c r="DM164"/>
      <c r="DN164"/>
      <c r="DO164"/>
      <c r="DP164"/>
      <c r="DQ164"/>
      <c r="DR164"/>
      <c r="DS164"/>
      <c r="DT164">
        <v>141</v>
      </c>
      <c r="DU164"/>
      <c r="DV164"/>
      <c r="DW164"/>
      <c r="DX164"/>
      <c r="DY164"/>
      <c r="DZ164"/>
      <c r="EA164"/>
      <c r="EB164"/>
      <c r="EC164"/>
      <c r="ED164"/>
      <c r="EE164"/>
      <c r="EF164"/>
      <c r="EG164"/>
      <c r="EH164"/>
      <c r="EI164"/>
      <c r="EJ164"/>
      <c r="EK164"/>
      <c r="EL164"/>
      <c r="EM164"/>
      <c r="EN164"/>
      <c r="EO164"/>
      <c r="EP164"/>
      <c r="EQ164"/>
      <c r="ER164">
        <v>105</v>
      </c>
      <c r="ES164"/>
      <c r="ET164"/>
      <c r="EU164"/>
      <c r="EV164" s="439">
        <v>1375</v>
      </c>
      <c r="EW164" t="s">
        <v>975</v>
      </c>
      <c r="EX164" t="s">
        <v>976</v>
      </c>
      <c r="EY164" t="s">
        <v>977</v>
      </c>
      <c r="EZ164" t="s">
        <v>54</v>
      </c>
      <c r="FA164">
        <v>56716</v>
      </c>
      <c r="FB164">
        <v>1760494330</v>
      </c>
    </row>
    <row r="165" spans="1:158" x14ac:dyDescent="0.2">
      <c r="A165" s="439">
        <v>666</v>
      </c>
      <c r="B165" t="s">
        <v>1626</v>
      </c>
      <c r="C165" t="s">
        <v>798</v>
      </c>
      <c r="D165" t="s">
        <v>1627</v>
      </c>
      <c r="E165"/>
      <c r="F165" t="s">
        <v>801</v>
      </c>
      <c r="G165" t="s">
        <v>54</v>
      </c>
      <c r="H165" s="576">
        <v>55449</v>
      </c>
      <c r="I165"/>
      <c r="J165" t="s">
        <v>1627</v>
      </c>
      <c r="K165"/>
      <c r="L165" t="s">
        <v>798</v>
      </c>
      <c r="M165" t="s">
        <v>801</v>
      </c>
      <c r="N165" t="s">
        <v>54</v>
      </c>
      <c r="O165" s="576">
        <v>55449</v>
      </c>
      <c r="P165"/>
      <c r="Q165">
        <v>7635725700</v>
      </c>
      <c r="R165">
        <v>7635282950</v>
      </c>
      <c r="S165" t="s">
        <v>1628</v>
      </c>
      <c r="T165" t="s">
        <v>1629</v>
      </c>
      <c r="U165" t="s">
        <v>1556</v>
      </c>
      <c r="V165" t="s">
        <v>1630</v>
      </c>
      <c r="W165" t="s">
        <v>1631</v>
      </c>
      <c r="X165" t="s">
        <v>1632</v>
      </c>
      <c r="Y165" t="s">
        <v>1633</v>
      </c>
      <c r="Z165" t="s">
        <v>1634</v>
      </c>
      <c r="AA165" t="s">
        <v>1635</v>
      </c>
      <c r="AB165">
        <v>6126722287</v>
      </c>
      <c r="AC165"/>
      <c r="AD165">
        <v>6126726986</v>
      </c>
      <c r="AE165" t="s">
        <v>1636</v>
      </c>
      <c r="AF165" t="s">
        <v>1637</v>
      </c>
      <c r="AG165" t="s">
        <v>749</v>
      </c>
      <c r="AH165" t="s">
        <v>1029</v>
      </c>
      <c r="AI165" t="s">
        <v>912</v>
      </c>
      <c r="AJ165" t="s">
        <v>54</v>
      </c>
      <c r="AK165" s="576">
        <v>55104</v>
      </c>
      <c r="AL165"/>
      <c r="AM165" t="s">
        <v>1628</v>
      </c>
      <c r="AN165" t="s">
        <v>1629</v>
      </c>
      <c r="AO165" t="s">
        <v>1638</v>
      </c>
      <c r="AP165" t="s">
        <v>1626</v>
      </c>
      <c r="AQ165">
        <v>6517173431</v>
      </c>
      <c r="AR165"/>
      <c r="AS165"/>
      <c r="AT165" t="s">
        <v>1639</v>
      </c>
      <c r="AU165" t="s">
        <v>1627</v>
      </c>
      <c r="AV165"/>
      <c r="AW165" t="s">
        <v>798</v>
      </c>
      <c r="AX165" t="s">
        <v>801</v>
      </c>
      <c r="AY165" t="s">
        <v>54</v>
      </c>
      <c r="AZ165" s="576">
        <v>55449</v>
      </c>
      <c r="BA165"/>
      <c r="BB165" t="s">
        <v>1640</v>
      </c>
      <c r="BC165" t="s">
        <v>1641</v>
      </c>
      <c r="BD165" t="s">
        <v>1642</v>
      </c>
      <c r="BE165" t="s">
        <v>1635</v>
      </c>
      <c r="BF165">
        <v>6126724660</v>
      </c>
      <c r="BG165"/>
      <c r="BH165">
        <v>6126726986</v>
      </c>
      <c r="BI165" t="s">
        <v>1643</v>
      </c>
      <c r="BJ165" t="s">
        <v>1637</v>
      </c>
      <c r="BK165"/>
      <c r="BL165" t="s">
        <v>1029</v>
      </c>
      <c r="BM165" t="s">
        <v>912</v>
      </c>
      <c r="BN165" t="s">
        <v>54</v>
      </c>
      <c r="BO165" s="576">
        <v>55104</v>
      </c>
      <c r="BP165"/>
      <c r="BQ165" t="s">
        <v>1482</v>
      </c>
      <c r="BR165" t="s">
        <v>1644</v>
      </c>
      <c r="BS165" t="s">
        <v>1645</v>
      </c>
      <c r="BT165" t="s">
        <v>1635</v>
      </c>
      <c r="BU165">
        <v>6126726673</v>
      </c>
      <c r="BV165"/>
      <c r="BW165"/>
      <c r="BX165" t="s">
        <v>1646</v>
      </c>
      <c r="BY165" t="s">
        <v>1637</v>
      </c>
      <c r="BZ165"/>
      <c r="CA165" t="s">
        <v>1029</v>
      </c>
      <c r="CB165" t="s">
        <v>912</v>
      </c>
      <c r="CC165" t="s">
        <v>54</v>
      </c>
      <c r="CD165" s="576">
        <v>55104</v>
      </c>
      <c r="CE165"/>
      <c r="CF165" t="s">
        <v>1647</v>
      </c>
      <c r="CG165" t="s">
        <v>1095</v>
      </c>
      <c r="CH165" t="s">
        <v>141</v>
      </c>
      <c r="CI165"/>
      <c r="CJ165"/>
      <c r="CK165"/>
      <c r="CL165"/>
      <c r="CM165">
        <v>1972784205</v>
      </c>
      <c r="CN165">
        <v>2872</v>
      </c>
      <c r="CO165">
        <v>465</v>
      </c>
      <c r="CP165">
        <v>287</v>
      </c>
      <c r="CQ165">
        <v>466</v>
      </c>
      <c r="CR165">
        <v>2949</v>
      </c>
      <c r="CS165" t="s">
        <v>788</v>
      </c>
      <c r="CT165">
        <v>12</v>
      </c>
      <c r="CU165"/>
      <c r="CV165"/>
      <c r="CW165"/>
      <c r="CX165"/>
      <c r="CY165"/>
      <c r="CZ165"/>
      <c r="DA165"/>
      <c r="DB165"/>
      <c r="DC165"/>
      <c r="DD165">
        <v>128</v>
      </c>
      <c r="DE165" t="s">
        <v>1648</v>
      </c>
      <c r="DF165"/>
      <c r="DG165"/>
      <c r="DH165">
        <v>129</v>
      </c>
      <c r="DI165" t="s">
        <v>1649</v>
      </c>
      <c r="DJ165"/>
      <c r="DK165"/>
      <c r="DL165"/>
      <c r="DM165"/>
      <c r="DN165"/>
      <c r="DO165"/>
      <c r="DP165"/>
      <c r="DQ165"/>
      <c r="DR165"/>
      <c r="DS165"/>
      <c r="DT165"/>
      <c r="DU165"/>
      <c r="DV165"/>
      <c r="DW165"/>
      <c r="DX165"/>
      <c r="DY165"/>
      <c r="DZ165"/>
      <c r="EA165"/>
      <c r="EB165"/>
      <c r="EC165"/>
      <c r="ED165"/>
      <c r="EE165"/>
      <c r="EF165"/>
      <c r="EG165"/>
      <c r="EH165"/>
      <c r="EI165"/>
      <c r="EJ165"/>
      <c r="EK165"/>
      <c r="EL165"/>
      <c r="EM165"/>
      <c r="EN165"/>
      <c r="EO165"/>
      <c r="EP165"/>
      <c r="EQ165"/>
      <c r="ER165">
        <v>11</v>
      </c>
      <c r="ES165"/>
      <c r="ET165"/>
      <c r="EU165"/>
      <c r="EV165" s="439">
        <v>1476</v>
      </c>
      <c r="EW165" t="s">
        <v>1354</v>
      </c>
      <c r="EX165" t="s">
        <v>976</v>
      </c>
      <c r="EY165" t="s">
        <v>1355</v>
      </c>
      <c r="EZ165" t="s">
        <v>54</v>
      </c>
      <c r="FA165">
        <v>56716</v>
      </c>
      <c r="FB165"/>
    </row>
    <row r="166" spans="1:158" x14ac:dyDescent="0.2">
      <c r="A166" s="439">
        <v>708</v>
      </c>
      <c r="B166" t="s">
        <v>1650</v>
      </c>
      <c r="C166" t="s">
        <v>829</v>
      </c>
      <c r="D166" t="s">
        <v>1651</v>
      </c>
      <c r="E166"/>
      <c r="F166" t="s">
        <v>744</v>
      </c>
      <c r="G166" t="s">
        <v>54</v>
      </c>
      <c r="H166" s="576">
        <v>55369</v>
      </c>
      <c r="I166" s="576">
        <v>4478</v>
      </c>
      <c r="J166" t="s">
        <v>1652</v>
      </c>
      <c r="K166" t="s">
        <v>1653</v>
      </c>
      <c r="L166" t="s">
        <v>829</v>
      </c>
      <c r="M166" t="s">
        <v>744</v>
      </c>
      <c r="N166" t="s">
        <v>54</v>
      </c>
      <c r="O166" s="576">
        <v>55369</v>
      </c>
      <c r="P166" s="576">
        <v>4478</v>
      </c>
      <c r="Q166">
        <v>7638981000</v>
      </c>
      <c r="R166">
        <v>7638981009</v>
      </c>
      <c r="S166" t="s">
        <v>1086</v>
      </c>
      <c r="T166" t="s">
        <v>1087</v>
      </c>
      <c r="U166" t="s">
        <v>1654</v>
      </c>
      <c r="V166" t="s">
        <v>1088</v>
      </c>
      <c r="W166" t="s">
        <v>1631</v>
      </c>
      <c r="X166" t="s">
        <v>1632</v>
      </c>
      <c r="Y166" t="s">
        <v>1633</v>
      </c>
      <c r="Z166" t="s">
        <v>1655</v>
      </c>
      <c r="AA166" t="s">
        <v>1635</v>
      </c>
      <c r="AB166">
        <v>6126722287</v>
      </c>
      <c r="AC166"/>
      <c r="AD166">
        <v>6126726986</v>
      </c>
      <c r="AE166" t="s">
        <v>1636</v>
      </c>
      <c r="AF166" t="s">
        <v>1637</v>
      </c>
      <c r="AG166" t="s">
        <v>749</v>
      </c>
      <c r="AH166" t="s">
        <v>1029</v>
      </c>
      <c r="AI166" t="s">
        <v>912</v>
      </c>
      <c r="AJ166" t="s">
        <v>54</v>
      </c>
      <c r="AK166" s="576">
        <v>55104</v>
      </c>
      <c r="AL166"/>
      <c r="AM166" t="s">
        <v>1640</v>
      </c>
      <c r="AN166" t="s">
        <v>1641</v>
      </c>
      <c r="AO166" t="s">
        <v>1642</v>
      </c>
      <c r="AP166" t="s">
        <v>1635</v>
      </c>
      <c r="AQ166">
        <v>6126724660</v>
      </c>
      <c r="AR166"/>
      <c r="AS166">
        <v>6126726986</v>
      </c>
      <c r="AT166" t="s">
        <v>1643</v>
      </c>
      <c r="AU166" t="s">
        <v>1637</v>
      </c>
      <c r="AV166"/>
      <c r="AW166" t="s">
        <v>1029</v>
      </c>
      <c r="AX166" t="s">
        <v>912</v>
      </c>
      <c r="AY166" t="s">
        <v>54</v>
      </c>
      <c r="AZ166" s="576">
        <v>55104</v>
      </c>
      <c r="BA166"/>
      <c r="BB166"/>
      <c r="BC166"/>
      <c r="BD166"/>
      <c r="BE166"/>
      <c r="BF166"/>
      <c r="BG166"/>
      <c r="BH166"/>
      <c r="BI166"/>
      <c r="BJ166"/>
      <c r="BK166"/>
      <c r="BL166"/>
      <c r="BM166"/>
      <c r="BN166"/>
      <c r="BO166"/>
      <c r="BP166"/>
      <c r="BQ166" t="s">
        <v>1482</v>
      </c>
      <c r="BR166" t="s">
        <v>1644</v>
      </c>
      <c r="BS166" t="s">
        <v>1645</v>
      </c>
      <c r="BT166" t="s">
        <v>1635</v>
      </c>
      <c r="BU166">
        <v>6126726673</v>
      </c>
      <c r="BV166"/>
      <c r="BW166"/>
      <c r="BX166" t="s">
        <v>1646</v>
      </c>
      <c r="BY166" t="s">
        <v>1637</v>
      </c>
      <c r="BZ166"/>
      <c r="CA166" t="s">
        <v>1029</v>
      </c>
      <c r="CB166" t="s">
        <v>912</v>
      </c>
      <c r="CC166" t="s">
        <v>54</v>
      </c>
      <c r="CD166" s="576">
        <v>55104</v>
      </c>
      <c r="CE166"/>
      <c r="CF166" t="s">
        <v>1656</v>
      </c>
      <c r="CG166" t="s">
        <v>1095</v>
      </c>
      <c r="CH166" t="s">
        <v>141</v>
      </c>
      <c r="CI166"/>
      <c r="CJ166"/>
      <c r="CK166"/>
      <c r="CL166"/>
      <c r="CM166">
        <v>1841315165</v>
      </c>
      <c r="CN166">
        <v>230</v>
      </c>
      <c r="CO166">
        <v>2445</v>
      </c>
      <c r="CP166">
        <v>466</v>
      </c>
      <c r="CQ166"/>
      <c r="CR166">
        <v>2949</v>
      </c>
      <c r="CS166" t="s">
        <v>788</v>
      </c>
      <c r="CT166">
        <v>12</v>
      </c>
      <c r="CU166"/>
      <c r="CV166"/>
      <c r="CW166"/>
      <c r="CX166"/>
      <c r="CY166"/>
      <c r="CZ166"/>
      <c r="DA166"/>
      <c r="DB166"/>
      <c r="DC166"/>
      <c r="DD166">
        <v>128</v>
      </c>
      <c r="DE166" t="s">
        <v>1657</v>
      </c>
      <c r="DF166">
        <v>131</v>
      </c>
      <c r="DG166" t="s">
        <v>1658</v>
      </c>
      <c r="DH166">
        <v>129</v>
      </c>
      <c r="DI166" t="s">
        <v>1659</v>
      </c>
      <c r="DJ166">
        <v>130</v>
      </c>
      <c r="DK166" t="s">
        <v>1660</v>
      </c>
      <c r="DL166"/>
      <c r="DM166"/>
      <c r="DN166"/>
      <c r="DO166"/>
      <c r="DP166"/>
      <c r="DQ166"/>
      <c r="DR166"/>
      <c r="DS166"/>
      <c r="DT166"/>
      <c r="DU166"/>
      <c r="DV166"/>
      <c r="DW166"/>
      <c r="DX166"/>
      <c r="DY166"/>
      <c r="DZ166"/>
      <c r="EA166"/>
      <c r="EB166"/>
      <c r="EC166"/>
      <c r="ED166"/>
      <c r="EE166"/>
      <c r="EF166"/>
      <c r="EG166"/>
      <c r="EH166"/>
      <c r="EI166"/>
      <c r="EJ166"/>
      <c r="EK166"/>
      <c r="EL166"/>
      <c r="EM166"/>
      <c r="EN166"/>
      <c r="EO166"/>
      <c r="EP166"/>
      <c r="EQ166"/>
      <c r="ER166">
        <v>11</v>
      </c>
      <c r="ES166"/>
      <c r="ET166"/>
      <c r="EU166"/>
      <c r="EV166" s="439">
        <v>119</v>
      </c>
      <c r="EW166" t="s">
        <v>2850</v>
      </c>
      <c r="EX166" t="s">
        <v>976</v>
      </c>
      <c r="EY166" t="s">
        <v>1355</v>
      </c>
      <c r="EZ166" t="s">
        <v>54</v>
      </c>
      <c r="FA166">
        <v>56716</v>
      </c>
      <c r="FB166">
        <v>1477525566</v>
      </c>
    </row>
    <row r="167" spans="1:158" ht="13.9" customHeight="1" x14ac:dyDescent="0.2">
      <c r="A167" s="439">
        <v>1434</v>
      </c>
      <c r="B167" t="s">
        <v>1661</v>
      </c>
      <c r="C167" t="s">
        <v>1662</v>
      </c>
      <c r="D167" t="s">
        <v>1663</v>
      </c>
      <c r="E167" t="s">
        <v>749</v>
      </c>
      <c r="F167" t="s">
        <v>1662</v>
      </c>
      <c r="G167" t="s">
        <v>54</v>
      </c>
      <c r="H167" s="576">
        <v>55987</v>
      </c>
      <c r="I167" t="s">
        <v>749</v>
      </c>
      <c r="J167" t="s">
        <v>1663</v>
      </c>
      <c r="K167" t="s">
        <v>749</v>
      </c>
      <c r="L167" t="s">
        <v>1662</v>
      </c>
      <c r="M167" t="s">
        <v>1662</v>
      </c>
      <c r="N167" t="s">
        <v>54</v>
      </c>
      <c r="O167" s="576">
        <v>55987</v>
      </c>
      <c r="P167" t="s">
        <v>749</v>
      </c>
      <c r="Q167">
        <v>5076150600</v>
      </c>
      <c r="R167">
        <v>5076150632</v>
      </c>
      <c r="S167" t="s">
        <v>1664</v>
      </c>
      <c r="T167" t="s">
        <v>1665</v>
      </c>
      <c r="U167" t="s">
        <v>1666</v>
      </c>
      <c r="V167" t="s">
        <v>1667</v>
      </c>
      <c r="W167" t="s">
        <v>1668</v>
      </c>
      <c r="X167" t="s">
        <v>1669</v>
      </c>
      <c r="Y167" t="s">
        <v>1087</v>
      </c>
      <c r="Z167" t="s">
        <v>1670</v>
      </c>
      <c r="AA167" t="s">
        <v>1661</v>
      </c>
      <c r="AB167">
        <v>5076150600</v>
      </c>
      <c r="AC167">
        <v>58705</v>
      </c>
      <c r="AD167">
        <v>5076150632</v>
      </c>
      <c r="AE167" t="s">
        <v>1671</v>
      </c>
      <c r="AF167" t="s">
        <v>1663</v>
      </c>
      <c r="AG167" t="s">
        <v>749</v>
      </c>
      <c r="AH167" t="s">
        <v>1662</v>
      </c>
      <c r="AI167" t="s">
        <v>1662</v>
      </c>
      <c r="AJ167" t="s">
        <v>54</v>
      </c>
      <c r="AK167" s="576">
        <v>55987</v>
      </c>
      <c r="AL167" t="s">
        <v>749</v>
      </c>
      <c r="AM167" t="s">
        <v>1672</v>
      </c>
      <c r="AN167" t="s">
        <v>1673</v>
      </c>
      <c r="AO167" t="s">
        <v>1674</v>
      </c>
      <c r="AP167" t="s">
        <v>1661</v>
      </c>
      <c r="AQ167">
        <v>5076150600</v>
      </c>
      <c r="AR167">
        <v>23505</v>
      </c>
      <c r="AS167">
        <v>5076150632</v>
      </c>
      <c r="AT167" t="s">
        <v>1675</v>
      </c>
      <c r="AU167" t="s">
        <v>1663</v>
      </c>
      <c r="AV167" t="s">
        <v>749</v>
      </c>
      <c r="AW167" t="s">
        <v>1662</v>
      </c>
      <c r="AX167" t="s">
        <v>1662</v>
      </c>
      <c r="AY167" t="s">
        <v>54</v>
      </c>
      <c r="AZ167" s="576">
        <v>55987</v>
      </c>
      <c r="BA167" t="s">
        <v>749</v>
      </c>
      <c r="BB167" t="s">
        <v>1676</v>
      </c>
      <c r="BC167" t="s">
        <v>1677</v>
      </c>
      <c r="BD167" t="s">
        <v>1678</v>
      </c>
      <c r="BE167" t="s">
        <v>1661</v>
      </c>
      <c r="BF167">
        <v>6087756493</v>
      </c>
      <c r="BG167">
        <v>56493</v>
      </c>
      <c r="BH167">
        <v>6087756362</v>
      </c>
      <c r="BI167" t="s">
        <v>1679</v>
      </c>
      <c r="BJ167" t="s">
        <v>1663</v>
      </c>
      <c r="BK167" t="s">
        <v>749</v>
      </c>
      <c r="BL167" t="s">
        <v>1662</v>
      </c>
      <c r="BM167" t="s">
        <v>1662</v>
      </c>
      <c r="BN167" t="s">
        <v>54</v>
      </c>
      <c r="BO167" s="576">
        <v>55987</v>
      </c>
      <c r="BP167" t="s">
        <v>749</v>
      </c>
      <c r="BQ167" t="s">
        <v>1669</v>
      </c>
      <c r="BR167" t="s">
        <v>1087</v>
      </c>
      <c r="BS167" t="s">
        <v>1670</v>
      </c>
      <c r="BT167" t="s">
        <v>1661</v>
      </c>
      <c r="BU167">
        <v>5076150600</v>
      </c>
      <c r="BV167">
        <v>58705</v>
      </c>
      <c r="BW167">
        <v>5076150632</v>
      </c>
      <c r="BX167" t="s">
        <v>1671</v>
      </c>
      <c r="BY167" t="s">
        <v>1663</v>
      </c>
      <c r="BZ167" t="s">
        <v>749</v>
      </c>
      <c r="CA167" t="s">
        <v>1662</v>
      </c>
      <c r="CB167" t="s">
        <v>1662</v>
      </c>
      <c r="CC167" t="s">
        <v>54</v>
      </c>
      <c r="CD167" s="576">
        <v>55987</v>
      </c>
      <c r="CE167" t="s">
        <v>749</v>
      </c>
      <c r="CF167" t="s">
        <v>1680</v>
      </c>
      <c r="CG167" t="s">
        <v>1681</v>
      </c>
      <c r="CH167" t="s">
        <v>141</v>
      </c>
      <c r="CI167"/>
      <c r="CJ167"/>
      <c r="CK167"/>
      <c r="CL167"/>
      <c r="CM167">
        <v>1952959603</v>
      </c>
      <c r="CN167">
        <v>2761</v>
      </c>
      <c r="CO167">
        <v>252</v>
      </c>
      <c r="CP167">
        <v>272</v>
      </c>
      <c r="CQ167">
        <v>297</v>
      </c>
      <c r="CR167">
        <v>252</v>
      </c>
      <c r="CS167" t="s">
        <v>795</v>
      </c>
      <c r="CT167">
        <v>12</v>
      </c>
      <c r="CU167"/>
      <c r="CV167"/>
      <c r="CW167"/>
      <c r="CX167" t="s">
        <v>749</v>
      </c>
      <c r="CY167"/>
      <c r="CZ167" t="s">
        <v>749</v>
      </c>
      <c r="DA167" t="s">
        <v>749</v>
      </c>
      <c r="DB167" t="s">
        <v>749</v>
      </c>
      <c r="DC167" t="s">
        <v>749</v>
      </c>
      <c r="DD167"/>
      <c r="DE167"/>
      <c r="DF167"/>
      <c r="DG167"/>
      <c r="DH167"/>
      <c r="DI167"/>
      <c r="DJ167"/>
      <c r="DK167"/>
      <c r="DL167"/>
      <c r="DM167"/>
      <c r="DN167"/>
      <c r="DO167"/>
      <c r="DP167"/>
      <c r="DQ167"/>
      <c r="DR167"/>
      <c r="DS167"/>
      <c r="DT167"/>
      <c r="DU167"/>
      <c r="DV167"/>
      <c r="DW167"/>
      <c r="DX167"/>
      <c r="DY167"/>
      <c r="DZ167"/>
      <c r="EA167"/>
      <c r="EB167">
        <v>137</v>
      </c>
      <c r="EC167" t="s">
        <v>1682</v>
      </c>
      <c r="ED167"/>
      <c r="EE167"/>
      <c r="EF167"/>
      <c r="EG167"/>
      <c r="EH167"/>
      <c r="EI167"/>
      <c r="EJ167"/>
      <c r="EK167"/>
      <c r="EL167"/>
      <c r="EM167"/>
      <c r="EN167"/>
      <c r="EO167"/>
      <c r="EP167"/>
      <c r="EQ167"/>
      <c r="ER167">
        <v>14</v>
      </c>
      <c r="ES167"/>
      <c r="ET167"/>
      <c r="EU167"/>
      <c r="EV167" s="439">
        <v>759</v>
      </c>
      <c r="EW167" t="s">
        <v>2407</v>
      </c>
      <c r="EX167" t="s">
        <v>976</v>
      </c>
      <c r="EY167" t="s">
        <v>2408</v>
      </c>
      <c r="EZ167" t="s">
        <v>54</v>
      </c>
      <c r="FA167">
        <v>56716</v>
      </c>
      <c r="FB167">
        <v>1679528194</v>
      </c>
    </row>
    <row r="168" spans="1:158" x14ac:dyDescent="0.2">
      <c r="A168" s="439">
        <v>1019</v>
      </c>
      <c r="B168" t="s">
        <v>1683</v>
      </c>
      <c r="C168" t="s">
        <v>1684</v>
      </c>
      <c r="D168" t="s">
        <v>1685</v>
      </c>
      <c r="E168" t="s">
        <v>1686</v>
      </c>
      <c r="F168"/>
      <c r="G168" t="s">
        <v>54</v>
      </c>
      <c r="H168" s="576">
        <v>55430</v>
      </c>
      <c r="I168" s="576">
        <v>1765</v>
      </c>
      <c r="J168" t="s">
        <v>1685</v>
      </c>
      <c r="K168" t="s">
        <v>1686</v>
      </c>
      <c r="L168" t="s">
        <v>1684</v>
      </c>
      <c r="M168"/>
      <c r="N168" t="s">
        <v>54</v>
      </c>
      <c r="O168" s="576">
        <v>55430</v>
      </c>
      <c r="P168" s="576">
        <v>1765</v>
      </c>
      <c r="Q168">
        <v>7632448020</v>
      </c>
      <c r="R168">
        <v>7632448021</v>
      </c>
      <c r="S168" t="s">
        <v>1562</v>
      </c>
      <c r="T168" t="s">
        <v>1687</v>
      </c>
      <c r="U168" t="s">
        <v>1688</v>
      </c>
      <c r="V168" t="s">
        <v>1689</v>
      </c>
      <c r="W168"/>
      <c r="X168" t="s">
        <v>1562</v>
      </c>
      <c r="Y168" t="s">
        <v>1687</v>
      </c>
      <c r="Z168" t="s">
        <v>742</v>
      </c>
      <c r="AA168" t="s">
        <v>1683</v>
      </c>
      <c r="AB168">
        <v>6127470220</v>
      </c>
      <c r="AC168"/>
      <c r="AD168">
        <v>7642448021</v>
      </c>
      <c r="AE168" t="s">
        <v>1689</v>
      </c>
      <c r="AF168" t="s">
        <v>1685</v>
      </c>
      <c r="AG168" t="s">
        <v>1686</v>
      </c>
      <c r="AH168" t="s">
        <v>1684</v>
      </c>
      <c r="AI168"/>
      <c r="AJ168" t="s">
        <v>54</v>
      </c>
      <c r="AK168" s="576">
        <v>55430</v>
      </c>
      <c r="AL168" s="576">
        <v>1765</v>
      </c>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c r="BX168"/>
      <c r="BY168"/>
      <c r="BZ168"/>
      <c r="CA168"/>
      <c r="CB168"/>
      <c r="CC168"/>
      <c r="CD168"/>
      <c r="CE168"/>
      <c r="CF168"/>
      <c r="CG168" t="s">
        <v>733</v>
      </c>
      <c r="CH168"/>
      <c r="CI168"/>
      <c r="CJ168"/>
      <c r="CK168"/>
      <c r="CL168"/>
      <c r="CM168">
        <v>1336580018</v>
      </c>
      <c r="CN168">
        <v>1109</v>
      </c>
      <c r="CO168">
        <v>1271</v>
      </c>
      <c r="CP168"/>
      <c r="CQ168"/>
      <c r="CR168"/>
      <c r="CS168" t="s">
        <v>788</v>
      </c>
      <c r="CT168">
        <v>12</v>
      </c>
      <c r="CU168"/>
      <c r="CV168"/>
      <c r="CW168"/>
      <c r="CX168"/>
      <c r="CY168"/>
      <c r="CZ168"/>
      <c r="DA168"/>
      <c r="DB168"/>
      <c r="DC168"/>
      <c r="DD168">
        <v>128</v>
      </c>
      <c r="DE168" t="s">
        <v>889</v>
      </c>
      <c r="DF168"/>
      <c r="DG168"/>
      <c r="DH168"/>
      <c r="DI168"/>
      <c r="DJ168"/>
      <c r="DK168"/>
      <c r="DL168"/>
      <c r="DM168"/>
      <c r="DN168"/>
      <c r="DO168"/>
      <c r="DP168"/>
      <c r="DQ168"/>
      <c r="DR168"/>
      <c r="DS168"/>
      <c r="DT168"/>
      <c r="DU168"/>
      <c r="DV168"/>
      <c r="DW168"/>
      <c r="DX168"/>
      <c r="DY168"/>
      <c r="DZ168"/>
      <c r="EA168"/>
      <c r="EB168"/>
      <c r="EC168"/>
      <c r="ED168"/>
      <c r="EE168"/>
      <c r="EF168"/>
      <c r="EG168"/>
      <c r="EH168"/>
      <c r="EI168"/>
      <c r="EJ168"/>
      <c r="EK168"/>
      <c r="EL168"/>
      <c r="EM168"/>
      <c r="EN168"/>
      <c r="EO168"/>
      <c r="EP168"/>
      <c r="EQ168"/>
      <c r="ER168">
        <v>0</v>
      </c>
      <c r="ES168"/>
      <c r="ET168"/>
      <c r="EU168"/>
      <c r="EV168" s="439">
        <v>835</v>
      </c>
      <c r="EW168" t="s">
        <v>1265</v>
      </c>
      <c r="EX168" t="s">
        <v>1266</v>
      </c>
      <c r="EY168" t="s">
        <v>1267</v>
      </c>
      <c r="EZ168" t="s">
        <v>54</v>
      </c>
      <c r="FA168">
        <v>56441</v>
      </c>
      <c r="FB168"/>
    </row>
    <row r="169" spans="1:158" x14ac:dyDescent="0.2">
      <c r="A169" s="439">
        <v>1948</v>
      </c>
      <c r="B169" t="s">
        <v>1690</v>
      </c>
      <c r="C169" t="s">
        <v>967</v>
      </c>
      <c r="D169" t="s">
        <v>1691</v>
      </c>
      <c r="E169" t="s">
        <v>1692</v>
      </c>
      <c r="F169" t="s">
        <v>744</v>
      </c>
      <c r="G169" t="s">
        <v>54</v>
      </c>
      <c r="H169" s="576">
        <v>55435</v>
      </c>
      <c r="I169" t="s">
        <v>749</v>
      </c>
      <c r="J169" t="s">
        <v>1691</v>
      </c>
      <c r="K169" t="s">
        <v>1692</v>
      </c>
      <c r="L169" t="s">
        <v>967</v>
      </c>
      <c r="M169" t="s">
        <v>744</v>
      </c>
      <c r="N169" t="s">
        <v>54</v>
      </c>
      <c r="O169" s="576">
        <v>55435</v>
      </c>
      <c r="P169" t="s">
        <v>749</v>
      </c>
      <c r="Q169">
        <v>9528380650</v>
      </c>
      <c r="R169">
        <v>9528380651</v>
      </c>
      <c r="S169" t="s">
        <v>1693</v>
      </c>
      <c r="T169" t="s">
        <v>1694</v>
      </c>
      <c r="U169" t="s">
        <v>1695</v>
      </c>
      <c r="V169" t="s">
        <v>1696</v>
      </c>
      <c r="W169" t="s">
        <v>1697</v>
      </c>
      <c r="X169" t="s">
        <v>1693</v>
      </c>
      <c r="Y169" t="s">
        <v>1698</v>
      </c>
      <c r="Z169" t="s">
        <v>1695</v>
      </c>
      <c r="AA169" t="s">
        <v>1690</v>
      </c>
      <c r="AB169">
        <v>6416912014</v>
      </c>
      <c r="AC169"/>
      <c r="AD169">
        <v>9528380651</v>
      </c>
      <c r="AE169" t="s">
        <v>1699</v>
      </c>
      <c r="AF169" t="s">
        <v>1691</v>
      </c>
      <c r="AG169" t="s">
        <v>1692</v>
      </c>
      <c r="AH169" t="s">
        <v>967</v>
      </c>
      <c r="AI169" t="s">
        <v>744</v>
      </c>
      <c r="AJ169" t="s">
        <v>54</v>
      </c>
      <c r="AK169" s="576">
        <v>55435</v>
      </c>
      <c r="AL169" t="s">
        <v>749</v>
      </c>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t="s">
        <v>1700</v>
      </c>
      <c r="BR169" t="s">
        <v>1701</v>
      </c>
      <c r="BS169" t="s">
        <v>1702</v>
      </c>
      <c r="BT169" t="s">
        <v>1703</v>
      </c>
      <c r="BU169">
        <v>9523457704</v>
      </c>
      <c r="BV169"/>
      <c r="BW169">
        <v>9525125650</v>
      </c>
      <c r="BX169" t="s">
        <v>749</v>
      </c>
      <c r="BY169" t="s">
        <v>1704</v>
      </c>
      <c r="BZ169"/>
      <c r="CA169" t="s">
        <v>1705</v>
      </c>
      <c r="CB169" t="s">
        <v>744</v>
      </c>
      <c r="CC169" t="s">
        <v>54</v>
      </c>
      <c r="CD169" s="576">
        <v>55422</v>
      </c>
      <c r="CE169"/>
      <c r="CF169" t="s">
        <v>1706</v>
      </c>
      <c r="CG169" t="s">
        <v>1707</v>
      </c>
      <c r="CH169" t="s">
        <v>141</v>
      </c>
      <c r="CI169"/>
      <c r="CJ169"/>
      <c r="CK169"/>
      <c r="CL169"/>
      <c r="CM169"/>
      <c r="CN169">
        <v>1475</v>
      </c>
      <c r="CO169">
        <v>410</v>
      </c>
      <c r="CP169"/>
      <c r="CQ169"/>
      <c r="CR169">
        <v>204</v>
      </c>
      <c r="CS169" t="s">
        <v>788</v>
      </c>
      <c r="CT169">
        <v>12</v>
      </c>
      <c r="CU169"/>
      <c r="CV169"/>
      <c r="CW169"/>
      <c r="CX169" t="s">
        <v>749</v>
      </c>
      <c r="CY169"/>
      <c r="CZ169" t="s">
        <v>749</v>
      </c>
      <c r="DA169" t="s">
        <v>749</v>
      </c>
      <c r="DB169" t="s">
        <v>749</v>
      </c>
      <c r="DC169" t="s">
        <v>749</v>
      </c>
      <c r="DD169"/>
      <c r="DE169"/>
      <c r="DF169"/>
      <c r="DG169"/>
      <c r="DH169"/>
      <c r="DI169"/>
      <c r="DJ169"/>
      <c r="DK169"/>
      <c r="DL169"/>
      <c r="DM169"/>
      <c r="DN169">
        <v>133</v>
      </c>
      <c r="DO169" t="s">
        <v>1708</v>
      </c>
      <c r="DP169"/>
      <c r="DQ169"/>
      <c r="DR169"/>
      <c r="DS169"/>
      <c r="DT169"/>
      <c r="DU169"/>
      <c r="DV169"/>
      <c r="DW169"/>
      <c r="DX169"/>
      <c r="DY169"/>
      <c r="DZ169"/>
      <c r="EA169"/>
      <c r="EB169"/>
      <c r="EC169"/>
      <c r="ED169"/>
      <c r="EE169"/>
      <c r="EF169"/>
      <c r="EG169"/>
      <c r="EH169"/>
      <c r="EI169"/>
      <c r="EJ169"/>
      <c r="EK169"/>
      <c r="EL169"/>
      <c r="EM169"/>
      <c r="EN169"/>
      <c r="EO169"/>
      <c r="EP169"/>
      <c r="EQ169"/>
      <c r="ER169">
        <v>204</v>
      </c>
      <c r="ES169"/>
      <c r="ET169"/>
      <c r="EU169"/>
      <c r="EV169" s="439">
        <v>31</v>
      </c>
      <c r="EW169" t="s">
        <v>2851</v>
      </c>
      <c r="EX169" t="s">
        <v>1266</v>
      </c>
      <c r="EY169" t="s">
        <v>2852</v>
      </c>
      <c r="EZ169" t="s">
        <v>54</v>
      </c>
      <c r="FA169">
        <v>56441</v>
      </c>
      <c r="FB169">
        <v>1538143896</v>
      </c>
    </row>
    <row r="170" spans="1:158" ht="12.75" customHeight="1" x14ac:dyDescent="0.2">
      <c r="A170" s="439">
        <v>1863</v>
      </c>
      <c r="B170" t="s">
        <v>1709</v>
      </c>
      <c r="C170" t="s">
        <v>835</v>
      </c>
      <c r="D170" t="s">
        <v>1710</v>
      </c>
      <c r="E170" t="s">
        <v>1711</v>
      </c>
      <c r="F170" t="s">
        <v>838</v>
      </c>
      <c r="G170" t="s">
        <v>54</v>
      </c>
      <c r="H170" s="576">
        <v>55125</v>
      </c>
      <c r="I170" t="s">
        <v>749</v>
      </c>
      <c r="J170" t="s">
        <v>1710</v>
      </c>
      <c r="K170" t="s">
        <v>1711</v>
      </c>
      <c r="L170" t="s">
        <v>835</v>
      </c>
      <c r="M170" t="s">
        <v>838</v>
      </c>
      <c r="N170" t="s">
        <v>54</v>
      </c>
      <c r="O170" s="576">
        <v>55125</v>
      </c>
      <c r="P170" t="s">
        <v>749</v>
      </c>
      <c r="Q170">
        <v>9528380650</v>
      </c>
      <c r="R170">
        <v>9528380651</v>
      </c>
      <c r="S170" t="s">
        <v>1693</v>
      </c>
      <c r="T170" t="s">
        <v>1694</v>
      </c>
      <c r="U170" t="s">
        <v>1695</v>
      </c>
      <c r="V170" t="s">
        <v>1696</v>
      </c>
      <c r="W170" t="s">
        <v>1697</v>
      </c>
      <c r="X170" t="s">
        <v>1693</v>
      </c>
      <c r="Y170" t="s">
        <v>1698</v>
      </c>
      <c r="Z170" t="s">
        <v>1695</v>
      </c>
      <c r="AA170" t="s">
        <v>1709</v>
      </c>
      <c r="AB170">
        <v>6416912014</v>
      </c>
      <c r="AC170"/>
      <c r="AD170">
        <v>9528380651</v>
      </c>
      <c r="AE170" t="s">
        <v>1699</v>
      </c>
      <c r="AF170" t="s">
        <v>1710</v>
      </c>
      <c r="AG170" t="s">
        <v>1711</v>
      </c>
      <c r="AH170" t="s">
        <v>835</v>
      </c>
      <c r="AI170" t="s">
        <v>838</v>
      </c>
      <c r="AJ170" t="s">
        <v>54</v>
      </c>
      <c r="AK170" s="576">
        <v>55125</v>
      </c>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t="s">
        <v>1700</v>
      </c>
      <c r="BR170" t="s">
        <v>1701</v>
      </c>
      <c r="BS170" t="s">
        <v>1702</v>
      </c>
      <c r="BT170" t="s">
        <v>1703</v>
      </c>
      <c r="BU170">
        <v>9523457704</v>
      </c>
      <c r="BV170"/>
      <c r="BW170">
        <v>9525125650</v>
      </c>
      <c r="BX170" t="s">
        <v>749</v>
      </c>
      <c r="BY170" t="s">
        <v>1704</v>
      </c>
      <c r="BZ170"/>
      <c r="CA170" t="s">
        <v>1705</v>
      </c>
      <c r="CB170" t="s">
        <v>744</v>
      </c>
      <c r="CC170" t="s">
        <v>54</v>
      </c>
      <c r="CD170" s="576">
        <v>55422</v>
      </c>
      <c r="CE170"/>
      <c r="CF170" t="s">
        <v>1706</v>
      </c>
      <c r="CG170" t="s">
        <v>1707</v>
      </c>
      <c r="CH170" t="s">
        <v>141</v>
      </c>
      <c r="CI170"/>
      <c r="CJ170"/>
      <c r="CK170"/>
      <c r="CL170"/>
      <c r="CM170"/>
      <c r="CN170">
        <v>144</v>
      </c>
      <c r="CO170">
        <v>405</v>
      </c>
      <c r="CP170"/>
      <c r="CQ170"/>
      <c r="CR170">
        <v>204</v>
      </c>
      <c r="CS170" t="s">
        <v>788</v>
      </c>
      <c r="CT170">
        <v>12</v>
      </c>
      <c r="CU170"/>
      <c r="CV170"/>
      <c r="CW170"/>
      <c r="CX170" t="s">
        <v>749</v>
      </c>
      <c r="CY170"/>
      <c r="CZ170" t="s">
        <v>749</v>
      </c>
      <c r="DA170" t="s">
        <v>749</v>
      </c>
      <c r="DB170" t="s">
        <v>749</v>
      </c>
      <c r="DC170" t="s">
        <v>749</v>
      </c>
      <c r="DD170"/>
      <c r="DE170"/>
      <c r="DF170"/>
      <c r="DG170"/>
      <c r="DH170"/>
      <c r="DI170"/>
      <c r="DJ170"/>
      <c r="DK170"/>
      <c r="DL170"/>
      <c r="DM170"/>
      <c r="DN170">
        <v>133</v>
      </c>
      <c r="DO170" t="s">
        <v>1708</v>
      </c>
      <c r="DP170"/>
      <c r="DQ170"/>
      <c r="DR170"/>
      <c r="DS170"/>
      <c r="DT170"/>
      <c r="DU170"/>
      <c r="DV170"/>
      <c r="DW170"/>
      <c r="DX170"/>
      <c r="DY170"/>
      <c r="DZ170"/>
      <c r="EA170"/>
      <c r="EB170"/>
      <c r="EC170"/>
      <c r="ED170"/>
      <c r="EE170"/>
      <c r="EF170"/>
      <c r="EG170"/>
      <c r="EH170"/>
      <c r="EI170"/>
      <c r="EJ170"/>
      <c r="EK170"/>
      <c r="EL170"/>
      <c r="EM170"/>
      <c r="EN170"/>
      <c r="EO170"/>
      <c r="EP170"/>
      <c r="EQ170"/>
      <c r="ER170">
        <v>204</v>
      </c>
      <c r="ES170"/>
      <c r="ET170"/>
      <c r="EU170"/>
      <c r="EV170" s="439">
        <v>1343</v>
      </c>
      <c r="EW170" t="s">
        <v>2853</v>
      </c>
      <c r="EX170" t="s">
        <v>2854</v>
      </c>
      <c r="EY170" t="s">
        <v>2855</v>
      </c>
      <c r="EZ170" t="s">
        <v>54</v>
      </c>
      <c r="FA170">
        <v>56442</v>
      </c>
      <c r="FB170"/>
    </row>
    <row r="171" spans="1:158" x14ac:dyDescent="0.2">
      <c r="A171" s="439">
        <v>549</v>
      </c>
      <c r="B171" t="s">
        <v>1712</v>
      </c>
      <c r="C171" t="s">
        <v>829</v>
      </c>
      <c r="D171" t="s">
        <v>1713</v>
      </c>
      <c r="E171" t="s">
        <v>931</v>
      </c>
      <c r="F171" t="s">
        <v>744</v>
      </c>
      <c r="G171" t="s">
        <v>54</v>
      </c>
      <c r="H171" s="576">
        <v>55369</v>
      </c>
      <c r="I171"/>
      <c r="J171" t="s">
        <v>1713</v>
      </c>
      <c r="K171" t="s">
        <v>931</v>
      </c>
      <c r="L171" t="s">
        <v>829</v>
      </c>
      <c r="M171"/>
      <c r="N171" t="s">
        <v>54</v>
      </c>
      <c r="O171" s="576">
        <v>55369</v>
      </c>
      <c r="P171"/>
      <c r="Q171">
        <v>7633986363</v>
      </c>
      <c r="R171">
        <v>7633986364</v>
      </c>
      <c r="S171" t="s">
        <v>1714</v>
      </c>
      <c r="T171" t="s">
        <v>1715</v>
      </c>
      <c r="U171" t="s">
        <v>1716</v>
      </c>
      <c r="V171" t="s">
        <v>1717</v>
      </c>
      <c r="W171" t="s">
        <v>1718</v>
      </c>
      <c r="X171" t="s">
        <v>1719</v>
      </c>
      <c r="Y171" t="s">
        <v>1720</v>
      </c>
      <c r="Z171" t="s">
        <v>1721</v>
      </c>
      <c r="AA171" t="s">
        <v>1722</v>
      </c>
      <c r="AB171">
        <v>7633986618</v>
      </c>
      <c r="AC171"/>
      <c r="AD171">
        <v>7633986543</v>
      </c>
      <c r="AE171" t="s">
        <v>1723</v>
      </c>
      <c r="AF171" t="s">
        <v>1724</v>
      </c>
      <c r="AG171" t="s">
        <v>1725</v>
      </c>
      <c r="AH171" t="s">
        <v>1128</v>
      </c>
      <c r="AI171" t="s">
        <v>744</v>
      </c>
      <c r="AJ171" t="s">
        <v>54</v>
      </c>
      <c r="AK171" s="576">
        <v>55441</v>
      </c>
      <c r="AL171"/>
      <c r="AM171" t="s">
        <v>1726</v>
      </c>
      <c r="AN171" t="s">
        <v>1727</v>
      </c>
      <c r="AO171" t="s">
        <v>1456</v>
      </c>
      <c r="AP171" t="s">
        <v>1722</v>
      </c>
      <c r="AQ171">
        <v>7633982208</v>
      </c>
      <c r="AR171"/>
      <c r="AS171">
        <v>7633986543</v>
      </c>
      <c r="AT171" t="s">
        <v>1728</v>
      </c>
      <c r="AU171" t="s">
        <v>1724</v>
      </c>
      <c r="AV171" t="s">
        <v>1725</v>
      </c>
      <c r="AW171" t="s">
        <v>1128</v>
      </c>
      <c r="AX171" t="s">
        <v>744</v>
      </c>
      <c r="AY171" t="s">
        <v>54</v>
      </c>
      <c r="AZ171" s="576">
        <v>55441</v>
      </c>
      <c r="BA171"/>
      <c r="BB171" t="s">
        <v>1714</v>
      </c>
      <c r="BC171" t="s">
        <v>1715</v>
      </c>
      <c r="BD171" t="s">
        <v>1716</v>
      </c>
      <c r="BE171" t="s">
        <v>1722</v>
      </c>
      <c r="BF171">
        <v>7633982201</v>
      </c>
      <c r="BG171"/>
      <c r="BH171">
        <v>7633986543</v>
      </c>
      <c r="BI171" t="s">
        <v>1717</v>
      </c>
      <c r="BJ171" t="s">
        <v>1724</v>
      </c>
      <c r="BK171" t="s">
        <v>1725</v>
      </c>
      <c r="BL171" t="s">
        <v>1128</v>
      </c>
      <c r="BM171" t="s">
        <v>744</v>
      </c>
      <c r="BN171" t="s">
        <v>54</v>
      </c>
      <c r="BO171" s="576">
        <v>55441</v>
      </c>
      <c r="BP171"/>
      <c r="BQ171" t="s">
        <v>1719</v>
      </c>
      <c r="BR171" t="s">
        <v>1720</v>
      </c>
      <c r="BS171" t="s">
        <v>1721</v>
      </c>
      <c r="BT171" t="s">
        <v>1722</v>
      </c>
      <c r="BU171">
        <v>7633986618</v>
      </c>
      <c r="BV171"/>
      <c r="BW171">
        <v>7633986543</v>
      </c>
      <c r="BX171" t="s">
        <v>1723</v>
      </c>
      <c r="BY171" t="s">
        <v>1724</v>
      </c>
      <c r="BZ171" t="s">
        <v>1725</v>
      </c>
      <c r="CA171" t="s">
        <v>1128</v>
      </c>
      <c r="CB171" t="s">
        <v>744</v>
      </c>
      <c r="CC171" t="s">
        <v>54</v>
      </c>
      <c r="CD171" s="576">
        <v>55441</v>
      </c>
      <c r="CE171"/>
      <c r="CF171" t="s">
        <v>1729</v>
      </c>
      <c r="CG171" t="s">
        <v>1730</v>
      </c>
      <c r="CH171" t="s">
        <v>141</v>
      </c>
      <c r="CI171" t="s">
        <v>1731</v>
      </c>
      <c r="CJ171" t="s">
        <v>141</v>
      </c>
      <c r="CK171"/>
      <c r="CL171"/>
      <c r="CM171">
        <v>1922009471</v>
      </c>
      <c r="CN171">
        <v>237</v>
      </c>
      <c r="CO171">
        <v>261</v>
      </c>
      <c r="CP171">
        <v>169</v>
      </c>
      <c r="CQ171">
        <v>170</v>
      </c>
      <c r="CR171">
        <v>261</v>
      </c>
      <c r="CS171" t="s">
        <v>788</v>
      </c>
      <c r="CT171">
        <v>12</v>
      </c>
      <c r="CU171"/>
      <c r="CV171"/>
      <c r="CW171"/>
      <c r="CX171"/>
      <c r="CY171"/>
      <c r="CZ171"/>
      <c r="DA171"/>
      <c r="DB171"/>
      <c r="DC171"/>
      <c r="DD171">
        <v>128</v>
      </c>
      <c r="DE171" t="s">
        <v>1732</v>
      </c>
      <c r="DF171"/>
      <c r="DG171"/>
      <c r="DH171">
        <v>129</v>
      </c>
      <c r="DI171" t="s">
        <v>1733</v>
      </c>
      <c r="DJ171"/>
      <c r="DK171"/>
      <c r="DL171"/>
      <c r="DM171"/>
      <c r="DN171"/>
      <c r="DO171"/>
      <c r="DP171"/>
      <c r="DQ171"/>
      <c r="DR171"/>
      <c r="DS171"/>
      <c r="DT171"/>
      <c r="DU171"/>
      <c r="DV171"/>
      <c r="DW171"/>
      <c r="DX171"/>
      <c r="DY171"/>
      <c r="DZ171"/>
      <c r="EA171"/>
      <c r="EB171"/>
      <c r="EC171"/>
      <c r="ED171"/>
      <c r="EE171"/>
      <c r="EF171"/>
      <c r="EG171"/>
      <c r="EH171"/>
      <c r="EI171"/>
      <c r="EJ171"/>
      <c r="EK171"/>
      <c r="EL171"/>
      <c r="EM171"/>
      <c r="EN171"/>
      <c r="EO171"/>
      <c r="EP171"/>
      <c r="EQ171"/>
      <c r="ER171">
        <v>129</v>
      </c>
      <c r="ES171">
        <v>21</v>
      </c>
      <c r="ET171"/>
      <c r="EU171"/>
      <c r="EV171" s="439">
        <v>66</v>
      </c>
      <c r="EW171" t="s">
        <v>2856</v>
      </c>
      <c r="EX171" t="s">
        <v>2857</v>
      </c>
      <c r="EY171" t="s">
        <v>2858</v>
      </c>
      <c r="EZ171" t="s">
        <v>54</v>
      </c>
      <c r="FA171">
        <v>56232</v>
      </c>
      <c r="FB171">
        <v>1093745051</v>
      </c>
    </row>
    <row r="172" spans="1:158" x14ac:dyDescent="0.2">
      <c r="A172" s="439">
        <v>581</v>
      </c>
      <c r="B172" t="s">
        <v>1734</v>
      </c>
      <c r="C172" t="s">
        <v>1128</v>
      </c>
      <c r="D172" t="s">
        <v>1735</v>
      </c>
      <c r="E172" t="s">
        <v>1736</v>
      </c>
      <c r="F172" t="s">
        <v>744</v>
      </c>
      <c r="G172" t="s">
        <v>54</v>
      </c>
      <c r="H172" s="576">
        <v>55441</v>
      </c>
      <c r="I172"/>
      <c r="J172" t="s">
        <v>1735</v>
      </c>
      <c r="K172" t="s">
        <v>1736</v>
      </c>
      <c r="L172" t="s">
        <v>1128</v>
      </c>
      <c r="M172" t="s">
        <v>744</v>
      </c>
      <c r="N172" t="s">
        <v>54</v>
      </c>
      <c r="O172" s="576">
        <v>55441</v>
      </c>
      <c r="P172"/>
      <c r="Q172">
        <v>7633986390</v>
      </c>
      <c r="R172">
        <v>7633986391</v>
      </c>
      <c r="S172" t="s">
        <v>1714</v>
      </c>
      <c r="T172" t="s">
        <v>1715</v>
      </c>
      <c r="U172" t="s">
        <v>1716</v>
      </c>
      <c r="V172" t="s">
        <v>1717</v>
      </c>
      <c r="W172" t="s">
        <v>1718</v>
      </c>
      <c r="X172" t="s">
        <v>1719</v>
      </c>
      <c r="Y172" t="s">
        <v>1720</v>
      </c>
      <c r="Z172" t="s">
        <v>1737</v>
      </c>
      <c r="AA172" t="s">
        <v>1722</v>
      </c>
      <c r="AB172">
        <v>7633986618</v>
      </c>
      <c r="AC172"/>
      <c r="AD172">
        <v>7633986533</v>
      </c>
      <c r="AE172" t="s">
        <v>1723</v>
      </c>
      <c r="AF172" t="s">
        <v>1738</v>
      </c>
      <c r="AG172" t="s">
        <v>1725</v>
      </c>
      <c r="AH172" t="s">
        <v>1128</v>
      </c>
      <c r="AI172" t="s">
        <v>744</v>
      </c>
      <c r="AJ172" t="s">
        <v>54</v>
      </c>
      <c r="AK172" s="576">
        <v>55441</v>
      </c>
      <c r="AL172"/>
      <c r="AM172" t="s">
        <v>1726</v>
      </c>
      <c r="AN172" t="s">
        <v>1727</v>
      </c>
      <c r="AO172" t="s">
        <v>1456</v>
      </c>
      <c r="AP172" t="s">
        <v>1722</v>
      </c>
      <c r="AQ172">
        <v>7633982208</v>
      </c>
      <c r="AR172"/>
      <c r="AS172">
        <v>7633986543</v>
      </c>
      <c r="AT172" t="s">
        <v>1728</v>
      </c>
      <c r="AU172" t="s">
        <v>1724</v>
      </c>
      <c r="AV172" t="s">
        <v>1725</v>
      </c>
      <c r="AW172" t="s">
        <v>1128</v>
      </c>
      <c r="AX172" t="s">
        <v>744</v>
      </c>
      <c r="AY172" t="s">
        <v>54</v>
      </c>
      <c r="AZ172" s="576">
        <v>55441</v>
      </c>
      <c r="BA172"/>
      <c r="BB172" t="s">
        <v>1714</v>
      </c>
      <c r="BC172" t="s">
        <v>1715</v>
      </c>
      <c r="BD172" t="s">
        <v>1716</v>
      </c>
      <c r="BE172" t="s">
        <v>1722</v>
      </c>
      <c r="BF172">
        <v>7633982201</v>
      </c>
      <c r="BG172"/>
      <c r="BH172">
        <v>7633986543</v>
      </c>
      <c r="BI172" t="s">
        <v>1717</v>
      </c>
      <c r="BJ172" t="s">
        <v>1724</v>
      </c>
      <c r="BK172" t="s">
        <v>1725</v>
      </c>
      <c r="BL172" t="s">
        <v>1128</v>
      </c>
      <c r="BM172" t="s">
        <v>744</v>
      </c>
      <c r="BN172" t="s">
        <v>54</v>
      </c>
      <c r="BO172" s="576">
        <v>55441</v>
      </c>
      <c r="BP172"/>
      <c r="BQ172" t="s">
        <v>1719</v>
      </c>
      <c r="BR172" t="s">
        <v>1720</v>
      </c>
      <c r="BS172" t="s">
        <v>1737</v>
      </c>
      <c r="BT172" t="s">
        <v>1722</v>
      </c>
      <c r="BU172">
        <v>7633986618</v>
      </c>
      <c r="BV172"/>
      <c r="BW172">
        <v>7633986533</v>
      </c>
      <c r="BX172" t="s">
        <v>1723</v>
      </c>
      <c r="BY172" t="s">
        <v>1738</v>
      </c>
      <c r="BZ172" t="s">
        <v>1725</v>
      </c>
      <c r="CA172" t="s">
        <v>1128</v>
      </c>
      <c r="CB172" t="s">
        <v>744</v>
      </c>
      <c r="CC172" t="s">
        <v>54</v>
      </c>
      <c r="CD172" s="576">
        <v>55441</v>
      </c>
      <c r="CE172"/>
      <c r="CF172" t="s">
        <v>1729</v>
      </c>
      <c r="CG172" t="s">
        <v>1730</v>
      </c>
      <c r="CH172" t="s">
        <v>141</v>
      </c>
      <c r="CI172" t="s">
        <v>1731</v>
      </c>
      <c r="CJ172" t="s">
        <v>141</v>
      </c>
      <c r="CK172"/>
      <c r="CL172"/>
      <c r="CM172">
        <v>1922009471</v>
      </c>
      <c r="CN172">
        <v>805</v>
      </c>
      <c r="CO172">
        <v>804</v>
      </c>
      <c r="CP172">
        <v>268</v>
      </c>
      <c r="CQ172">
        <v>274</v>
      </c>
      <c r="CR172">
        <v>804</v>
      </c>
      <c r="CS172" t="s">
        <v>788</v>
      </c>
      <c r="CT172">
        <v>12</v>
      </c>
      <c r="CU172"/>
      <c r="CV172"/>
      <c r="CW172"/>
      <c r="CX172"/>
      <c r="CY172"/>
      <c r="CZ172"/>
      <c r="DA172"/>
      <c r="DB172"/>
      <c r="DC172"/>
      <c r="DD172">
        <v>128</v>
      </c>
      <c r="DE172" t="s">
        <v>1739</v>
      </c>
      <c r="DF172"/>
      <c r="DG172"/>
      <c r="DH172">
        <v>129</v>
      </c>
      <c r="DI172" t="s">
        <v>1740</v>
      </c>
      <c r="DJ172"/>
      <c r="DK172"/>
      <c r="DL172"/>
      <c r="DM172"/>
      <c r="DN172"/>
      <c r="DO172"/>
      <c r="DP172"/>
      <c r="DQ172"/>
      <c r="DR172"/>
      <c r="DS172"/>
      <c r="DT172"/>
      <c r="DU172"/>
      <c r="DV172"/>
      <c r="DW172"/>
      <c r="DX172"/>
      <c r="DY172"/>
      <c r="DZ172"/>
      <c r="EA172"/>
      <c r="EB172"/>
      <c r="EC172"/>
      <c r="ED172"/>
      <c r="EE172"/>
      <c r="EF172"/>
      <c r="EG172"/>
      <c r="EH172"/>
      <c r="EI172"/>
      <c r="EJ172"/>
      <c r="EK172"/>
      <c r="EL172"/>
      <c r="EM172"/>
      <c r="EN172"/>
      <c r="EO172"/>
      <c r="EP172"/>
      <c r="EQ172"/>
      <c r="ER172">
        <v>129</v>
      </c>
      <c r="ES172">
        <v>21</v>
      </c>
      <c r="ET172"/>
      <c r="EU172"/>
      <c r="EV172" s="439">
        <v>1399</v>
      </c>
      <c r="EW172" t="s">
        <v>1062</v>
      </c>
      <c r="EX172" t="s">
        <v>1063</v>
      </c>
      <c r="EY172" t="s">
        <v>1064</v>
      </c>
      <c r="EZ172" t="s">
        <v>1065</v>
      </c>
      <c r="FA172">
        <v>89403</v>
      </c>
      <c r="FB172"/>
    </row>
    <row r="173" spans="1:158" ht="12.75" customHeight="1" x14ac:dyDescent="0.2">
      <c r="A173" s="439">
        <v>1166</v>
      </c>
      <c r="B173" t="s">
        <v>1741</v>
      </c>
      <c r="C173" t="s">
        <v>1452</v>
      </c>
      <c r="D173" t="s">
        <v>1450</v>
      </c>
      <c r="E173" t="s">
        <v>1451</v>
      </c>
      <c r="F173"/>
      <c r="G173" t="s">
        <v>992</v>
      </c>
      <c r="H173" s="576">
        <v>58104</v>
      </c>
      <c r="I173"/>
      <c r="J173" t="s">
        <v>1450</v>
      </c>
      <c r="K173" t="s">
        <v>1451</v>
      </c>
      <c r="L173" t="s">
        <v>1452</v>
      </c>
      <c r="M173" t="s">
        <v>1453</v>
      </c>
      <c r="N173" t="s">
        <v>992</v>
      </c>
      <c r="O173" s="576">
        <v>58104</v>
      </c>
      <c r="P173" s="576">
        <v>6278</v>
      </c>
      <c r="Q173">
        <v>7012970305</v>
      </c>
      <c r="R173">
        <v>7012354847</v>
      </c>
      <c r="S173" t="s">
        <v>1031</v>
      </c>
      <c r="T173" t="s">
        <v>1742</v>
      </c>
      <c r="U173" t="s">
        <v>740</v>
      </c>
      <c r="V173" t="s">
        <v>1743</v>
      </c>
      <c r="W173" t="s">
        <v>1744</v>
      </c>
      <c r="X173" t="s">
        <v>1445</v>
      </c>
      <c r="Y173" t="s">
        <v>1745</v>
      </c>
      <c r="Z173" t="s">
        <v>1447</v>
      </c>
      <c r="AA173" t="s">
        <v>1457</v>
      </c>
      <c r="AB173">
        <v>7015516907</v>
      </c>
      <c r="AC173"/>
      <c r="AD173">
        <v>7012354847</v>
      </c>
      <c r="AE173" t="s">
        <v>1449</v>
      </c>
      <c r="AF173" t="s">
        <v>1450</v>
      </c>
      <c r="AG173" t="s">
        <v>1451</v>
      </c>
      <c r="AH173" t="s">
        <v>1452</v>
      </c>
      <c r="AI173" t="s">
        <v>1453</v>
      </c>
      <c r="AJ173" t="s">
        <v>992</v>
      </c>
      <c r="AK173" s="576">
        <v>58104</v>
      </c>
      <c r="AL173" s="576">
        <v>6278</v>
      </c>
      <c r="AM173" t="s">
        <v>1454</v>
      </c>
      <c r="AN173" t="s">
        <v>1455</v>
      </c>
      <c r="AO173" t="s">
        <v>1456</v>
      </c>
      <c r="AP173" t="s">
        <v>1457</v>
      </c>
      <c r="AQ173"/>
      <c r="AR173"/>
      <c r="AS173"/>
      <c r="AT173" t="s">
        <v>1458</v>
      </c>
      <c r="AU173" t="s">
        <v>1450</v>
      </c>
      <c r="AV173" t="s">
        <v>1451</v>
      </c>
      <c r="AW173" t="s">
        <v>1452</v>
      </c>
      <c r="AX173" t="s">
        <v>1453</v>
      </c>
      <c r="AY173" t="s">
        <v>992</v>
      </c>
      <c r="AZ173" s="576">
        <v>58104</v>
      </c>
      <c r="BA173" s="576">
        <v>6278</v>
      </c>
      <c r="BB173"/>
      <c r="BC173"/>
      <c r="BD173"/>
      <c r="BE173"/>
      <c r="BF173"/>
      <c r="BG173"/>
      <c r="BH173"/>
      <c r="BI173"/>
      <c r="BJ173"/>
      <c r="BK173"/>
      <c r="BL173"/>
      <c r="BM173"/>
      <c r="BN173"/>
      <c r="BO173"/>
      <c r="BP173"/>
      <c r="BQ173"/>
      <c r="BR173"/>
      <c r="BS173"/>
      <c r="BT173"/>
      <c r="BU173"/>
      <c r="BV173"/>
      <c r="BW173"/>
      <c r="BX173"/>
      <c r="BY173"/>
      <c r="BZ173"/>
      <c r="CA173"/>
      <c r="CB173"/>
      <c r="CC173"/>
      <c r="CD173"/>
      <c r="CE173"/>
      <c r="CF173" t="s">
        <v>1459</v>
      </c>
      <c r="CG173" t="s">
        <v>1448</v>
      </c>
      <c r="CH173" t="s">
        <v>141</v>
      </c>
      <c r="CI173"/>
      <c r="CJ173"/>
      <c r="CK173"/>
      <c r="CL173"/>
      <c r="CM173"/>
      <c r="CN173">
        <v>251</v>
      </c>
      <c r="CO173">
        <v>225</v>
      </c>
      <c r="CP173">
        <v>313</v>
      </c>
      <c r="CQ173"/>
      <c r="CR173"/>
      <c r="CS173" t="s">
        <v>788</v>
      </c>
      <c r="CT173">
        <v>12</v>
      </c>
      <c r="CU173"/>
      <c r="CV173"/>
      <c r="CW173"/>
      <c r="CX173"/>
      <c r="CY173"/>
      <c r="CZ173"/>
      <c r="DA173"/>
      <c r="DB173"/>
      <c r="DC173"/>
      <c r="DD173"/>
      <c r="DE173"/>
      <c r="DF173"/>
      <c r="DG173"/>
      <c r="DH173"/>
      <c r="DI173"/>
      <c r="DJ173"/>
      <c r="DK173"/>
      <c r="DL173"/>
      <c r="DM173"/>
      <c r="DN173"/>
      <c r="DO173"/>
      <c r="DP173"/>
      <c r="DQ173"/>
      <c r="DR173"/>
      <c r="DS173"/>
      <c r="DT173"/>
      <c r="DU173"/>
      <c r="DV173"/>
      <c r="DW173"/>
      <c r="DX173"/>
      <c r="DY173"/>
      <c r="DZ173"/>
      <c r="EA173"/>
      <c r="EB173"/>
      <c r="EC173"/>
      <c r="ED173"/>
      <c r="EE173"/>
      <c r="EF173"/>
      <c r="EG173"/>
      <c r="EH173"/>
      <c r="EI173"/>
      <c r="EJ173"/>
      <c r="EK173"/>
      <c r="EL173"/>
      <c r="EM173"/>
      <c r="EN173"/>
      <c r="EO173"/>
      <c r="EP173"/>
      <c r="EQ173"/>
      <c r="ER173">
        <v>49</v>
      </c>
      <c r="ES173"/>
      <c r="ET173"/>
      <c r="EU173"/>
      <c r="EV173" s="439">
        <v>1143</v>
      </c>
      <c r="EW173" t="s">
        <v>1073</v>
      </c>
      <c r="EX173" t="s">
        <v>1063</v>
      </c>
      <c r="EY173" t="s">
        <v>1064</v>
      </c>
      <c r="EZ173" t="s">
        <v>1065</v>
      </c>
      <c r="FA173">
        <v>89403</v>
      </c>
      <c r="FB173"/>
    </row>
    <row r="174" spans="1:158" x14ac:dyDescent="0.2">
      <c r="A174" s="439">
        <v>1942</v>
      </c>
      <c r="B174" t="s">
        <v>1746</v>
      </c>
      <c r="C174" t="s">
        <v>1105</v>
      </c>
      <c r="D174" t="s">
        <v>1747</v>
      </c>
      <c r="E174" t="s">
        <v>1451</v>
      </c>
      <c r="F174" t="s">
        <v>746</v>
      </c>
      <c r="G174" t="s">
        <v>54</v>
      </c>
      <c r="H174" s="576">
        <v>55337</v>
      </c>
      <c r="I174" t="s">
        <v>749</v>
      </c>
      <c r="J174" t="s">
        <v>1747</v>
      </c>
      <c r="K174" t="s">
        <v>1451</v>
      </c>
      <c r="L174" t="s">
        <v>1105</v>
      </c>
      <c r="M174"/>
      <c r="N174" t="s">
        <v>54</v>
      </c>
      <c r="O174" s="576">
        <v>55337</v>
      </c>
      <c r="P174" t="s">
        <v>749</v>
      </c>
      <c r="Q174">
        <v>9524056952</v>
      </c>
      <c r="R174">
        <v>8554306952</v>
      </c>
      <c r="S174" t="s">
        <v>846</v>
      </c>
      <c r="T174" t="s">
        <v>1748</v>
      </c>
      <c r="U174" t="s">
        <v>1749</v>
      </c>
      <c r="V174" t="s">
        <v>1750</v>
      </c>
      <c r="W174" t="s">
        <v>1751</v>
      </c>
      <c r="X174" t="s">
        <v>1752</v>
      </c>
      <c r="Y174" t="s">
        <v>1753</v>
      </c>
      <c r="Z174" t="s">
        <v>1563</v>
      </c>
      <c r="AA174" t="s">
        <v>1754</v>
      </c>
      <c r="AB174">
        <v>3207638888</v>
      </c>
      <c r="AC174"/>
      <c r="AD174">
        <v>8442517722</v>
      </c>
      <c r="AE174" t="s">
        <v>1755</v>
      </c>
      <c r="AF174" t="s">
        <v>1756</v>
      </c>
      <c r="AG174"/>
      <c r="AH174" t="s">
        <v>866</v>
      </c>
      <c r="AI174" t="s">
        <v>868</v>
      </c>
      <c r="AJ174" t="s">
        <v>54</v>
      </c>
      <c r="AK174" s="576">
        <v>56308</v>
      </c>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t="s">
        <v>1752</v>
      </c>
      <c r="BR174" t="s">
        <v>1753</v>
      </c>
      <c r="BS174" t="s">
        <v>1563</v>
      </c>
      <c r="BT174" t="s">
        <v>1754</v>
      </c>
      <c r="BU174">
        <v>3207638888</v>
      </c>
      <c r="BV174"/>
      <c r="BW174">
        <v>8442517722</v>
      </c>
      <c r="BX174" t="s">
        <v>1755</v>
      </c>
      <c r="BY174" t="s">
        <v>1756</v>
      </c>
      <c r="BZ174"/>
      <c r="CA174" t="s">
        <v>866</v>
      </c>
      <c r="CB174" t="s">
        <v>868</v>
      </c>
      <c r="CC174" t="s">
        <v>54</v>
      </c>
      <c r="CD174" s="576">
        <v>56308</v>
      </c>
      <c r="CE174"/>
      <c r="CF174" t="s">
        <v>1757</v>
      </c>
      <c r="CG174" t="s">
        <v>1758</v>
      </c>
      <c r="CH174" t="s">
        <v>141</v>
      </c>
      <c r="CI174"/>
      <c r="CJ174"/>
      <c r="CK174"/>
      <c r="CL174"/>
      <c r="CM174">
        <v>1659301992</v>
      </c>
      <c r="CN174">
        <v>1224</v>
      </c>
      <c r="CO174">
        <v>563</v>
      </c>
      <c r="CP174"/>
      <c r="CQ174"/>
      <c r="CR174">
        <v>563</v>
      </c>
      <c r="CS174" t="s">
        <v>788</v>
      </c>
      <c r="CT174">
        <v>12</v>
      </c>
      <c r="CU174"/>
      <c r="CV174"/>
      <c r="CW174"/>
      <c r="CX174" t="s">
        <v>749</v>
      </c>
      <c r="CY174"/>
      <c r="CZ174" t="s">
        <v>749</v>
      </c>
      <c r="DA174" t="s">
        <v>749</v>
      </c>
      <c r="DB174" t="s">
        <v>749</v>
      </c>
      <c r="DC174" t="s">
        <v>749</v>
      </c>
      <c r="DD174"/>
      <c r="DE174"/>
      <c r="DF174"/>
      <c r="DG174"/>
      <c r="DH174">
        <v>129</v>
      </c>
      <c r="DI174" t="s">
        <v>1759</v>
      </c>
      <c r="DJ174"/>
      <c r="DK174"/>
      <c r="DL174"/>
      <c r="DM174"/>
      <c r="DN174"/>
      <c r="DO174"/>
      <c r="DP174"/>
      <c r="DQ174"/>
      <c r="DR174"/>
      <c r="DS174"/>
      <c r="DT174"/>
      <c r="DU174"/>
      <c r="DV174"/>
      <c r="DW174"/>
      <c r="DX174"/>
      <c r="DY174"/>
      <c r="DZ174"/>
      <c r="EA174"/>
      <c r="EB174"/>
      <c r="EC174"/>
      <c r="ED174"/>
      <c r="EE174"/>
      <c r="EF174"/>
      <c r="EG174"/>
      <c r="EH174"/>
      <c r="EI174"/>
      <c r="EJ174"/>
      <c r="EK174"/>
      <c r="EL174"/>
      <c r="EM174"/>
      <c r="EN174"/>
      <c r="EO174"/>
      <c r="EP174"/>
      <c r="EQ174"/>
      <c r="ER174">
        <v>202</v>
      </c>
      <c r="ES174"/>
      <c r="ET174"/>
      <c r="EU174"/>
      <c r="EV174" s="439">
        <v>1403</v>
      </c>
      <c r="EW174" t="s">
        <v>1075</v>
      </c>
      <c r="EX174" t="s">
        <v>1063</v>
      </c>
      <c r="EY174" t="s">
        <v>1064</v>
      </c>
      <c r="EZ174" t="s">
        <v>1065</v>
      </c>
      <c r="FA174">
        <v>89403</v>
      </c>
      <c r="FB174"/>
    </row>
    <row r="175" spans="1:158" x14ac:dyDescent="0.2">
      <c r="A175" s="439">
        <v>976</v>
      </c>
      <c r="B175" t="s">
        <v>1760</v>
      </c>
      <c r="C175" t="s">
        <v>1128</v>
      </c>
      <c r="D175" t="s">
        <v>1761</v>
      </c>
      <c r="E175"/>
      <c r="F175" t="s">
        <v>744</v>
      </c>
      <c r="G175" t="s">
        <v>54</v>
      </c>
      <c r="H175" s="576">
        <v>55446</v>
      </c>
      <c r="I175"/>
      <c r="J175" t="s">
        <v>1761</v>
      </c>
      <c r="K175"/>
      <c r="L175" t="s">
        <v>1128</v>
      </c>
      <c r="M175" t="s">
        <v>744</v>
      </c>
      <c r="N175" t="s">
        <v>54</v>
      </c>
      <c r="O175" s="576">
        <v>55446</v>
      </c>
      <c r="P175"/>
      <c r="Q175">
        <v>7635539900</v>
      </c>
      <c r="R175">
        <v>7633747610</v>
      </c>
      <c r="S175" t="s">
        <v>1155</v>
      </c>
      <c r="T175" t="s">
        <v>1762</v>
      </c>
      <c r="U175" t="s">
        <v>1201</v>
      </c>
      <c r="V175" t="s">
        <v>1763</v>
      </c>
      <c r="W175"/>
      <c r="X175" t="s">
        <v>1155</v>
      </c>
      <c r="Y175" t="s">
        <v>1762</v>
      </c>
      <c r="Z175" t="s">
        <v>1201</v>
      </c>
      <c r="AA175" t="s">
        <v>1764</v>
      </c>
      <c r="AB175">
        <v>7635339900</v>
      </c>
      <c r="AC175"/>
      <c r="AD175">
        <v>7633747610</v>
      </c>
      <c r="AE175" t="s">
        <v>749</v>
      </c>
      <c r="AF175" t="s">
        <v>1761</v>
      </c>
      <c r="AG175"/>
      <c r="AH175" t="s">
        <v>1128</v>
      </c>
      <c r="AI175" t="s">
        <v>744</v>
      </c>
      <c r="AJ175" t="s">
        <v>54</v>
      </c>
      <c r="AK175" s="576">
        <v>55446</v>
      </c>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c r="BU175"/>
      <c r="BV175"/>
      <c r="BW175"/>
      <c r="BX175"/>
      <c r="BY175"/>
      <c r="BZ175"/>
      <c r="CA175"/>
      <c r="CB175"/>
      <c r="CC175"/>
      <c r="CD175"/>
      <c r="CE175"/>
      <c r="CF175" t="s">
        <v>1765</v>
      </c>
      <c r="CG175" t="s">
        <v>1764</v>
      </c>
      <c r="CH175" t="s">
        <v>749</v>
      </c>
      <c r="CI175"/>
      <c r="CJ175"/>
      <c r="CK175"/>
      <c r="CL175"/>
      <c r="CM175"/>
      <c r="CN175">
        <v>2963</v>
      </c>
      <c r="CO175">
        <v>2973</v>
      </c>
      <c r="CP175"/>
      <c r="CQ175"/>
      <c r="CR175"/>
      <c r="CS175" t="s">
        <v>788</v>
      </c>
      <c r="CT175">
        <v>2</v>
      </c>
      <c r="CU175"/>
      <c r="CV175"/>
      <c r="CW175"/>
      <c r="CX175"/>
      <c r="CY175"/>
      <c r="CZ175"/>
      <c r="DA175"/>
      <c r="DB175"/>
      <c r="DC175"/>
      <c r="DD175"/>
      <c r="DE175"/>
      <c r="DF175"/>
      <c r="DG175"/>
      <c r="DH175"/>
      <c r="DI175"/>
      <c r="DJ175"/>
      <c r="DK175"/>
      <c r="DL175"/>
      <c r="DM175"/>
      <c r="DN175"/>
      <c r="DO175"/>
      <c r="DP175"/>
      <c r="DQ175"/>
      <c r="DR175"/>
      <c r="DS175"/>
      <c r="DT175"/>
      <c r="DU175"/>
      <c r="DV175"/>
      <c r="DW175"/>
      <c r="DX175"/>
      <c r="DY175"/>
      <c r="DZ175"/>
      <c r="EA175"/>
      <c r="EB175"/>
      <c r="EC175"/>
      <c r="ED175"/>
      <c r="EE175"/>
      <c r="EF175"/>
      <c r="EG175"/>
      <c r="EH175"/>
      <c r="EI175"/>
      <c r="EJ175"/>
      <c r="EK175"/>
      <c r="EL175"/>
      <c r="EM175"/>
      <c r="EN175"/>
      <c r="EO175"/>
      <c r="EP175"/>
      <c r="EQ175"/>
      <c r="ER175">
        <v>112</v>
      </c>
      <c r="ES175"/>
      <c r="ET175"/>
      <c r="EU175"/>
      <c r="EV175" s="439">
        <v>1404</v>
      </c>
      <c r="EW175" t="s">
        <v>1076</v>
      </c>
      <c r="EX175" t="s">
        <v>1063</v>
      </c>
      <c r="EY175" t="s">
        <v>1064</v>
      </c>
      <c r="EZ175" t="s">
        <v>1065</v>
      </c>
      <c r="FA175">
        <v>89403</v>
      </c>
      <c r="FB175"/>
    </row>
    <row r="176" spans="1:158" ht="13.9" customHeight="1" x14ac:dyDescent="0.2">
      <c r="A176" s="439">
        <v>1017</v>
      </c>
      <c r="B176" t="s">
        <v>1766</v>
      </c>
      <c r="C176" t="s">
        <v>1419</v>
      </c>
      <c r="D176" t="s">
        <v>1767</v>
      </c>
      <c r="E176"/>
      <c r="F176" t="s">
        <v>855</v>
      </c>
      <c r="G176" t="s">
        <v>54</v>
      </c>
      <c r="H176" s="576">
        <v>56303</v>
      </c>
      <c r="I176"/>
      <c r="J176" t="s">
        <v>1768</v>
      </c>
      <c r="K176"/>
      <c r="L176" t="s">
        <v>1419</v>
      </c>
      <c r="M176" t="s">
        <v>855</v>
      </c>
      <c r="N176" t="s">
        <v>54</v>
      </c>
      <c r="O176" s="576">
        <v>56377</v>
      </c>
      <c r="P176"/>
      <c r="Q176">
        <v>3202291500</v>
      </c>
      <c r="R176">
        <v>3202291505</v>
      </c>
      <c r="S176" t="s">
        <v>1769</v>
      </c>
      <c r="T176" t="s">
        <v>1770</v>
      </c>
      <c r="U176" t="s">
        <v>740</v>
      </c>
      <c r="V176" t="s">
        <v>1771</v>
      </c>
      <c r="W176"/>
      <c r="X176" t="s">
        <v>1578</v>
      </c>
      <c r="Y176" t="s">
        <v>1772</v>
      </c>
      <c r="Z176" t="s">
        <v>1773</v>
      </c>
      <c r="AA176" t="s">
        <v>1766</v>
      </c>
      <c r="AB176">
        <v>3202291500</v>
      </c>
      <c r="AC176">
        <v>108</v>
      </c>
      <c r="AD176">
        <v>3202291505</v>
      </c>
      <c r="AE176" t="s">
        <v>1774</v>
      </c>
      <c r="AF176" t="s">
        <v>1768</v>
      </c>
      <c r="AG176"/>
      <c r="AH176" t="s">
        <v>1419</v>
      </c>
      <c r="AI176" t="s">
        <v>855</v>
      </c>
      <c r="AJ176" t="s">
        <v>54</v>
      </c>
      <c r="AK176" s="576">
        <v>56377</v>
      </c>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t="s">
        <v>1578</v>
      </c>
      <c r="BR176" t="s">
        <v>1772</v>
      </c>
      <c r="BS176" t="s">
        <v>1773</v>
      </c>
      <c r="BT176" t="s">
        <v>1766</v>
      </c>
      <c r="BU176">
        <v>3202291500</v>
      </c>
      <c r="BV176">
        <v>108</v>
      </c>
      <c r="BW176">
        <v>3202291505</v>
      </c>
      <c r="BX176" t="s">
        <v>1774</v>
      </c>
      <c r="BY176" t="s">
        <v>1768</v>
      </c>
      <c r="BZ176"/>
      <c r="CA176" t="s">
        <v>1419</v>
      </c>
      <c r="CB176" t="s">
        <v>855</v>
      </c>
      <c r="CC176" t="s">
        <v>54</v>
      </c>
      <c r="CD176" s="576">
        <v>56377</v>
      </c>
      <c r="CE176"/>
      <c r="CF176" t="s">
        <v>1775</v>
      </c>
      <c r="CG176" t="s">
        <v>733</v>
      </c>
      <c r="CH176"/>
      <c r="CI176"/>
      <c r="CJ176"/>
      <c r="CK176"/>
      <c r="CL176"/>
      <c r="CM176">
        <v>1013056969</v>
      </c>
      <c r="CN176">
        <v>347</v>
      </c>
      <c r="CO176">
        <v>339</v>
      </c>
      <c r="CP176"/>
      <c r="CQ176"/>
      <c r="CR176">
        <v>339</v>
      </c>
      <c r="CS176" t="s">
        <v>788</v>
      </c>
      <c r="CT176">
        <v>12</v>
      </c>
      <c r="CU176">
        <v>223</v>
      </c>
      <c r="CV176"/>
      <c r="CW176"/>
      <c r="CX176"/>
      <c r="CY176"/>
      <c r="CZ176"/>
      <c r="DA176"/>
      <c r="DB176"/>
      <c r="DC176"/>
      <c r="DD176">
        <v>128</v>
      </c>
      <c r="DE176" t="s">
        <v>973</v>
      </c>
      <c r="DF176"/>
      <c r="DG176"/>
      <c r="DH176"/>
      <c r="DI176"/>
      <c r="DJ176"/>
      <c r="DK176"/>
      <c r="DL176"/>
      <c r="DM176"/>
      <c r="DN176"/>
      <c r="DO176"/>
      <c r="DP176"/>
      <c r="DQ176"/>
      <c r="DR176"/>
      <c r="DS176"/>
      <c r="DT176"/>
      <c r="DU176"/>
      <c r="DV176"/>
      <c r="DW176"/>
      <c r="DX176"/>
      <c r="DY176"/>
      <c r="DZ176"/>
      <c r="EA176"/>
      <c r="EB176"/>
      <c r="EC176"/>
      <c r="ED176"/>
      <c r="EE176"/>
      <c r="EF176"/>
      <c r="EG176"/>
      <c r="EH176"/>
      <c r="EI176"/>
      <c r="EJ176"/>
      <c r="EK176"/>
      <c r="EL176"/>
      <c r="EM176"/>
      <c r="EN176"/>
      <c r="EO176"/>
      <c r="EP176"/>
      <c r="EQ176"/>
      <c r="ER176">
        <v>0</v>
      </c>
      <c r="ES176"/>
      <c r="ET176"/>
      <c r="EU176"/>
      <c r="EV176" s="439">
        <v>837</v>
      </c>
      <c r="EW176" t="s">
        <v>1271</v>
      </c>
      <c r="EX176" t="s">
        <v>1272</v>
      </c>
      <c r="EY176" t="s">
        <v>1273</v>
      </c>
      <c r="EZ176" t="s">
        <v>54</v>
      </c>
      <c r="FA176">
        <v>56636</v>
      </c>
      <c r="FB176"/>
    </row>
    <row r="177" spans="1:158" x14ac:dyDescent="0.2">
      <c r="A177" s="439">
        <v>1456</v>
      </c>
      <c r="B177" t="s">
        <v>1776</v>
      </c>
      <c r="C177" t="s">
        <v>842</v>
      </c>
      <c r="D177" t="s">
        <v>1777</v>
      </c>
      <c r="E177"/>
      <c r="F177" t="s">
        <v>844</v>
      </c>
      <c r="G177" t="s">
        <v>54</v>
      </c>
      <c r="H177" s="576">
        <v>56201</v>
      </c>
      <c r="I177"/>
      <c r="J177" t="s">
        <v>1777</v>
      </c>
      <c r="K177"/>
      <c r="L177" t="s">
        <v>842</v>
      </c>
      <c r="M177" t="s">
        <v>844</v>
      </c>
      <c r="N177" t="s">
        <v>54</v>
      </c>
      <c r="O177" s="576">
        <v>56201</v>
      </c>
      <c r="P177"/>
      <c r="Q177">
        <v>3202313277</v>
      </c>
      <c r="R177">
        <v>3202145758</v>
      </c>
      <c r="S177" t="s">
        <v>1778</v>
      </c>
      <c r="T177" t="s">
        <v>1779</v>
      </c>
      <c r="U177" t="s">
        <v>740</v>
      </c>
      <c r="V177" t="s">
        <v>1780</v>
      </c>
      <c r="W177" t="s">
        <v>1781</v>
      </c>
      <c r="X177" t="s">
        <v>1778</v>
      </c>
      <c r="Y177" t="s">
        <v>1779</v>
      </c>
      <c r="Z177" t="s">
        <v>740</v>
      </c>
      <c r="AA177" t="s">
        <v>1776</v>
      </c>
      <c r="AB177">
        <v>3202313277</v>
      </c>
      <c r="AC177"/>
      <c r="AD177">
        <v>3202145758</v>
      </c>
      <c r="AE177" t="s">
        <v>1780</v>
      </c>
      <c r="AF177" t="s">
        <v>1777</v>
      </c>
      <c r="AG177"/>
      <c r="AH177" t="s">
        <v>842</v>
      </c>
      <c r="AI177" t="s">
        <v>844</v>
      </c>
      <c r="AJ177" t="s">
        <v>54</v>
      </c>
      <c r="AK177" s="576">
        <v>56201</v>
      </c>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c r="BU177"/>
      <c r="BV177"/>
      <c r="BW177"/>
      <c r="BX177"/>
      <c r="BY177"/>
      <c r="BZ177"/>
      <c r="CA177"/>
      <c r="CB177"/>
      <c r="CC177"/>
      <c r="CD177"/>
      <c r="CE177"/>
      <c r="CF177" t="s">
        <v>1782</v>
      </c>
      <c r="CG177" t="s">
        <v>733</v>
      </c>
      <c r="CH177" t="s">
        <v>141</v>
      </c>
      <c r="CI177"/>
      <c r="CJ177"/>
      <c r="CK177"/>
      <c r="CL177"/>
      <c r="CM177">
        <v>1952332629</v>
      </c>
      <c r="CN177">
        <v>38</v>
      </c>
      <c r="CO177">
        <v>39</v>
      </c>
      <c r="CP177"/>
      <c r="CQ177"/>
      <c r="CR177"/>
      <c r="CS177" t="s">
        <v>788</v>
      </c>
      <c r="CT177">
        <v>12</v>
      </c>
      <c r="CU177"/>
      <c r="CV177"/>
      <c r="CW177"/>
      <c r="CX177"/>
      <c r="CY177"/>
      <c r="CZ177"/>
      <c r="DA177"/>
      <c r="DB177"/>
      <c r="DC177"/>
      <c r="DD177"/>
      <c r="DE177"/>
      <c r="DF177"/>
      <c r="DG177"/>
      <c r="DH177"/>
      <c r="DI177"/>
      <c r="DJ177"/>
      <c r="DK177"/>
      <c r="DL177"/>
      <c r="DM177"/>
      <c r="DN177">
        <v>133</v>
      </c>
      <c r="DO177" t="s">
        <v>826</v>
      </c>
      <c r="DP177"/>
      <c r="DQ177"/>
      <c r="DR177"/>
      <c r="DS177"/>
      <c r="DT177"/>
      <c r="DU177"/>
      <c r="DV177"/>
      <c r="DW177"/>
      <c r="DX177"/>
      <c r="DY177"/>
      <c r="DZ177"/>
      <c r="EA177"/>
      <c r="EB177"/>
      <c r="EC177"/>
      <c r="ED177"/>
      <c r="EE177"/>
      <c r="EF177"/>
      <c r="EG177"/>
      <c r="EH177"/>
      <c r="EI177"/>
      <c r="EJ177"/>
      <c r="EK177"/>
      <c r="EL177"/>
      <c r="EM177"/>
      <c r="EN177"/>
      <c r="EO177"/>
      <c r="EP177"/>
      <c r="EQ177"/>
      <c r="ER177">
        <v>0</v>
      </c>
      <c r="ES177"/>
      <c r="ET177"/>
      <c r="EU177"/>
      <c r="EV177" s="439">
        <v>25</v>
      </c>
      <c r="EW177" t="s">
        <v>2859</v>
      </c>
      <c r="EX177" t="s">
        <v>1272</v>
      </c>
      <c r="EY177" t="s">
        <v>2860</v>
      </c>
      <c r="EZ177" t="s">
        <v>54</v>
      </c>
      <c r="FA177">
        <v>56636</v>
      </c>
      <c r="FB177">
        <v>1225049018</v>
      </c>
    </row>
    <row r="178" spans="1:158" x14ac:dyDescent="0.2">
      <c r="A178" s="439">
        <v>1838</v>
      </c>
      <c r="B178" t="s">
        <v>1783</v>
      </c>
      <c r="C178" t="s">
        <v>935</v>
      </c>
      <c r="D178" t="s">
        <v>1784</v>
      </c>
      <c r="E178" t="s">
        <v>749</v>
      </c>
      <c r="F178" t="s">
        <v>746</v>
      </c>
      <c r="G178" t="s">
        <v>54</v>
      </c>
      <c r="H178" s="576">
        <v>55124</v>
      </c>
      <c r="I178" t="s">
        <v>749</v>
      </c>
      <c r="J178" t="s">
        <v>1784</v>
      </c>
      <c r="K178" t="s">
        <v>749</v>
      </c>
      <c r="L178" t="s">
        <v>935</v>
      </c>
      <c r="M178" t="s">
        <v>746</v>
      </c>
      <c r="N178" t="s">
        <v>54</v>
      </c>
      <c r="O178" s="576">
        <v>55124</v>
      </c>
      <c r="P178" t="s">
        <v>749</v>
      </c>
      <c r="Q178">
        <v>9524323333</v>
      </c>
      <c r="R178">
        <v>9524324444</v>
      </c>
      <c r="S178" t="s">
        <v>1593</v>
      </c>
      <c r="T178" t="s">
        <v>1785</v>
      </c>
      <c r="U178" t="s">
        <v>740</v>
      </c>
      <c r="V178" t="s">
        <v>1786</v>
      </c>
      <c r="W178" t="s">
        <v>1787</v>
      </c>
      <c r="X178" t="s">
        <v>1593</v>
      </c>
      <c r="Y178" t="s">
        <v>1785</v>
      </c>
      <c r="Z178" t="s">
        <v>1092</v>
      </c>
      <c r="AA178" t="s">
        <v>1788</v>
      </c>
      <c r="AB178">
        <v>9524323333</v>
      </c>
      <c r="AC178">
        <v>1</v>
      </c>
      <c r="AD178">
        <v>9524324444</v>
      </c>
      <c r="AE178" t="s">
        <v>1786</v>
      </c>
      <c r="AF178" t="s">
        <v>1784</v>
      </c>
      <c r="AG178" t="s">
        <v>749</v>
      </c>
      <c r="AH178" t="s">
        <v>935</v>
      </c>
      <c r="AI178" t="s">
        <v>746</v>
      </c>
      <c r="AJ178" t="s">
        <v>54</v>
      </c>
      <c r="AK178" s="576">
        <v>55124</v>
      </c>
      <c r="AL178" t="s">
        <v>749</v>
      </c>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t="s">
        <v>1454</v>
      </c>
      <c r="BR178" t="s">
        <v>1087</v>
      </c>
      <c r="BS178" t="s">
        <v>1789</v>
      </c>
      <c r="BT178" t="s">
        <v>1788</v>
      </c>
      <c r="BU178">
        <v>9524323333</v>
      </c>
      <c r="BV178"/>
      <c r="BW178">
        <v>9524324444</v>
      </c>
      <c r="BX178" t="s">
        <v>1790</v>
      </c>
      <c r="BY178" t="s">
        <v>1784</v>
      </c>
      <c r="BZ178" t="s">
        <v>749</v>
      </c>
      <c r="CA178" t="s">
        <v>935</v>
      </c>
      <c r="CB178" t="s">
        <v>746</v>
      </c>
      <c r="CC178" t="s">
        <v>54</v>
      </c>
      <c r="CD178" s="576">
        <v>55124</v>
      </c>
      <c r="CE178" t="s">
        <v>749</v>
      </c>
      <c r="CF178" t="s">
        <v>1791</v>
      </c>
      <c r="CG178" t="s">
        <v>1788</v>
      </c>
      <c r="CH178" t="s">
        <v>141</v>
      </c>
      <c r="CI178"/>
      <c r="CJ178"/>
      <c r="CK178"/>
      <c r="CL178"/>
      <c r="CM178">
        <v>1285711663</v>
      </c>
      <c r="CN178">
        <v>3017</v>
      </c>
      <c r="CO178">
        <v>2132</v>
      </c>
      <c r="CP178"/>
      <c r="CQ178"/>
      <c r="CR178">
        <v>3078</v>
      </c>
      <c r="CS178" t="s">
        <v>788</v>
      </c>
      <c r="CT178">
        <v>12</v>
      </c>
      <c r="CU178"/>
      <c r="CV178"/>
      <c r="CW178"/>
      <c r="CX178" t="s">
        <v>749</v>
      </c>
      <c r="CY178"/>
      <c r="CZ178" t="s">
        <v>749</v>
      </c>
      <c r="DA178" t="s">
        <v>749</v>
      </c>
      <c r="DB178" t="s">
        <v>749</v>
      </c>
      <c r="DC178" t="s">
        <v>749</v>
      </c>
      <c r="DD178"/>
      <c r="DE178"/>
      <c r="DF178"/>
      <c r="DG178"/>
      <c r="DH178"/>
      <c r="DI178"/>
      <c r="DJ178"/>
      <c r="DK178"/>
      <c r="DL178"/>
      <c r="DM178"/>
      <c r="DN178"/>
      <c r="DO178"/>
      <c r="DP178"/>
      <c r="DQ178"/>
      <c r="DR178"/>
      <c r="DS178"/>
      <c r="DT178"/>
      <c r="DU178"/>
      <c r="DV178"/>
      <c r="DW178"/>
      <c r="DX178"/>
      <c r="DY178"/>
      <c r="DZ178"/>
      <c r="EA178"/>
      <c r="EB178"/>
      <c r="EC178"/>
      <c r="ED178"/>
      <c r="EE178"/>
      <c r="EF178"/>
      <c r="EG178"/>
      <c r="EH178"/>
      <c r="EI178"/>
      <c r="EJ178"/>
      <c r="EK178"/>
      <c r="EL178"/>
      <c r="EM178"/>
      <c r="EN178">
        <v>217</v>
      </c>
      <c r="EO178" t="s">
        <v>1792</v>
      </c>
      <c r="EP178"/>
      <c r="EQ178"/>
      <c r="ER178">
        <v>222</v>
      </c>
      <c r="ES178"/>
      <c r="ET178"/>
      <c r="EU178"/>
      <c r="EV178" s="439">
        <v>1134</v>
      </c>
      <c r="EW178" t="s">
        <v>1277</v>
      </c>
      <c r="EX178" t="s">
        <v>1278</v>
      </c>
      <c r="EY178" t="s">
        <v>1279</v>
      </c>
      <c r="EZ178" t="s">
        <v>54</v>
      </c>
      <c r="FA178">
        <v>56501</v>
      </c>
      <c r="FB178"/>
    </row>
    <row r="179" spans="1:158" x14ac:dyDescent="0.2">
      <c r="A179" s="439">
        <v>1455</v>
      </c>
      <c r="B179" t="s">
        <v>1793</v>
      </c>
      <c r="C179" t="s">
        <v>1794</v>
      </c>
      <c r="D179" t="s">
        <v>1795</v>
      </c>
      <c r="E179"/>
      <c r="F179" t="s">
        <v>1796</v>
      </c>
      <c r="G179" t="s">
        <v>54</v>
      </c>
      <c r="H179" s="576">
        <v>55378</v>
      </c>
      <c r="I179"/>
      <c r="J179" t="s">
        <v>1795</v>
      </c>
      <c r="K179" t="s">
        <v>749</v>
      </c>
      <c r="L179" t="s">
        <v>1794</v>
      </c>
      <c r="M179" t="s">
        <v>1796</v>
      </c>
      <c r="N179" t="s">
        <v>54</v>
      </c>
      <c r="O179" s="576">
        <v>55378</v>
      </c>
      <c r="P179" t="s">
        <v>749</v>
      </c>
      <c r="Q179">
        <v>9524323333</v>
      </c>
      <c r="R179">
        <v>9524324444</v>
      </c>
      <c r="S179" t="s">
        <v>1593</v>
      </c>
      <c r="T179" t="s">
        <v>1785</v>
      </c>
      <c r="U179" t="s">
        <v>740</v>
      </c>
      <c r="V179" t="s">
        <v>1786</v>
      </c>
      <c r="W179" t="s">
        <v>1787</v>
      </c>
      <c r="X179" t="s">
        <v>1593</v>
      </c>
      <c r="Y179" t="s">
        <v>1785</v>
      </c>
      <c r="Z179" t="s">
        <v>1092</v>
      </c>
      <c r="AA179" t="s">
        <v>1788</v>
      </c>
      <c r="AB179">
        <v>9524323333</v>
      </c>
      <c r="AC179">
        <v>1</v>
      </c>
      <c r="AD179">
        <v>9524324444</v>
      </c>
      <c r="AE179" t="s">
        <v>1786</v>
      </c>
      <c r="AF179" t="s">
        <v>1784</v>
      </c>
      <c r="AG179" t="s">
        <v>749</v>
      </c>
      <c r="AH179" t="s">
        <v>935</v>
      </c>
      <c r="AI179" t="s">
        <v>746</v>
      </c>
      <c r="AJ179" t="s">
        <v>54</v>
      </c>
      <c r="AK179" s="576">
        <v>55124</v>
      </c>
      <c r="AL179" t="s">
        <v>749</v>
      </c>
      <c r="AM179" t="s">
        <v>1797</v>
      </c>
      <c r="AN179" t="s">
        <v>1798</v>
      </c>
      <c r="AO179" t="s">
        <v>1799</v>
      </c>
      <c r="AP179" t="s">
        <v>1788</v>
      </c>
      <c r="AQ179">
        <v>9524323333</v>
      </c>
      <c r="AR179">
        <v>2</v>
      </c>
      <c r="AS179">
        <v>9524324444</v>
      </c>
      <c r="AT179" t="s">
        <v>1800</v>
      </c>
      <c r="AU179" t="s">
        <v>1795</v>
      </c>
      <c r="AV179" t="s">
        <v>749</v>
      </c>
      <c r="AW179" t="s">
        <v>1794</v>
      </c>
      <c r="AX179" t="s">
        <v>1796</v>
      </c>
      <c r="AY179" t="s">
        <v>54</v>
      </c>
      <c r="AZ179" s="576">
        <v>55378</v>
      </c>
      <c r="BA179" t="s">
        <v>749</v>
      </c>
      <c r="BB179"/>
      <c r="BC179"/>
      <c r="BD179"/>
      <c r="BE179"/>
      <c r="BF179"/>
      <c r="BG179"/>
      <c r="BH179"/>
      <c r="BI179"/>
      <c r="BJ179"/>
      <c r="BK179"/>
      <c r="BL179"/>
      <c r="BM179"/>
      <c r="BN179"/>
      <c r="BO179"/>
      <c r="BP179"/>
      <c r="BQ179" t="s">
        <v>1454</v>
      </c>
      <c r="BR179" t="s">
        <v>1087</v>
      </c>
      <c r="BS179" t="s">
        <v>1789</v>
      </c>
      <c r="BT179" t="s">
        <v>1788</v>
      </c>
      <c r="BU179">
        <v>9524323333</v>
      </c>
      <c r="BV179"/>
      <c r="BW179">
        <v>9524324444</v>
      </c>
      <c r="BX179" t="s">
        <v>1790</v>
      </c>
      <c r="BY179" t="s">
        <v>1784</v>
      </c>
      <c r="BZ179" t="s">
        <v>749</v>
      </c>
      <c r="CA179" t="s">
        <v>935</v>
      </c>
      <c r="CB179" t="s">
        <v>746</v>
      </c>
      <c r="CC179" t="s">
        <v>54</v>
      </c>
      <c r="CD179" s="576">
        <v>55124</v>
      </c>
      <c r="CE179" t="s">
        <v>749</v>
      </c>
      <c r="CF179" t="s">
        <v>1791</v>
      </c>
      <c r="CG179" t="s">
        <v>1788</v>
      </c>
      <c r="CH179" t="s">
        <v>141</v>
      </c>
      <c r="CI179"/>
      <c r="CJ179"/>
      <c r="CK179"/>
      <c r="CL179"/>
      <c r="CM179">
        <v>1285711663</v>
      </c>
      <c r="CN179">
        <v>33</v>
      </c>
      <c r="CO179">
        <v>2132</v>
      </c>
      <c r="CP179">
        <v>2135</v>
      </c>
      <c r="CQ179"/>
      <c r="CR179">
        <v>3078</v>
      </c>
      <c r="CS179" t="s">
        <v>788</v>
      </c>
      <c r="CT179">
        <v>12</v>
      </c>
      <c r="CU179"/>
      <c r="CV179"/>
      <c r="CW179"/>
      <c r="CX179"/>
      <c r="CY179"/>
      <c r="CZ179"/>
      <c r="DA179"/>
      <c r="DB179"/>
      <c r="DC179"/>
      <c r="DD179"/>
      <c r="DE179"/>
      <c r="DF179"/>
      <c r="DG179"/>
      <c r="DH179"/>
      <c r="DI179"/>
      <c r="DJ179"/>
      <c r="DK179"/>
      <c r="DL179"/>
      <c r="DM179"/>
      <c r="DN179"/>
      <c r="DO179"/>
      <c r="DP179"/>
      <c r="DQ179"/>
      <c r="DR179"/>
      <c r="DS179"/>
      <c r="DT179"/>
      <c r="DU179"/>
      <c r="DV179"/>
      <c r="DW179"/>
      <c r="DX179"/>
      <c r="DY179"/>
      <c r="DZ179"/>
      <c r="EA179"/>
      <c r="EB179"/>
      <c r="EC179"/>
      <c r="ED179"/>
      <c r="EE179"/>
      <c r="EF179"/>
      <c r="EG179"/>
      <c r="EH179"/>
      <c r="EI179"/>
      <c r="EJ179"/>
      <c r="EK179"/>
      <c r="EL179"/>
      <c r="EM179"/>
      <c r="EN179"/>
      <c r="EO179"/>
      <c r="EP179"/>
      <c r="EQ179"/>
      <c r="ER179">
        <v>222</v>
      </c>
      <c r="ES179"/>
      <c r="ET179"/>
      <c r="EU179"/>
      <c r="EV179" s="439">
        <v>523</v>
      </c>
      <c r="EW179" t="s">
        <v>1440</v>
      </c>
      <c r="EX179" t="s">
        <v>1278</v>
      </c>
      <c r="EY179" t="s">
        <v>1441</v>
      </c>
      <c r="EZ179" t="s">
        <v>54</v>
      </c>
      <c r="FA179">
        <v>56501</v>
      </c>
      <c r="FB179">
        <v>1023039278</v>
      </c>
    </row>
    <row r="180" spans="1:158" x14ac:dyDescent="0.2">
      <c r="A180" s="439">
        <v>1746</v>
      </c>
      <c r="B180" t="s">
        <v>1801</v>
      </c>
      <c r="C180" t="s">
        <v>1802</v>
      </c>
      <c r="D180" t="s">
        <v>1803</v>
      </c>
      <c r="E180" t="s">
        <v>931</v>
      </c>
      <c r="F180"/>
      <c r="G180" t="s">
        <v>1055</v>
      </c>
      <c r="H180" s="576">
        <v>44286</v>
      </c>
      <c r="I180"/>
      <c r="J180" t="s">
        <v>1803</v>
      </c>
      <c r="K180" t="s">
        <v>931</v>
      </c>
      <c r="L180" t="s">
        <v>1802</v>
      </c>
      <c r="M180" t="s">
        <v>1804</v>
      </c>
      <c r="N180" t="s">
        <v>1055</v>
      </c>
      <c r="O180" s="576">
        <v>44286</v>
      </c>
      <c r="P180"/>
      <c r="Q180">
        <v>3305281765</v>
      </c>
      <c r="R180">
        <v>3305281796</v>
      </c>
      <c r="S180" t="s">
        <v>790</v>
      </c>
      <c r="T180" t="s">
        <v>1805</v>
      </c>
      <c r="U180" t="s">
        <v>1806</v>
      </c>
      <c r="V180" t="s">
        <v>1807</v>
      </c>
      <c r="W180" t="s">
        <v>1808</v>
      </c>
      <c r="X180" t="s">
        <v>790</v>
      </c>
      <c r="Y180" t="s">
        <v>1805</v>
      </c>
      <c r="Z180" t="s">
        <v>1806</v>
      </c>
      <c r="AA180" t="s">
        <v>1809</v>
      </c>
      <c r="AB180">
        <v>3305281754</v>
      </c>
      <c r="AC180"/>
      <c r="AD180">
        <v>3305281796</v>
      </c>
      <c r="AE180" t="s">
        <v>1807</v>
      </c>
      <c r="AF180" t="s">
        <v>1803</v>
      </c>
      <c r="AG180" t="s">
        <v>931</v>
      </c>
      <c r="AH180" t="s">
        <v>1802</v>
      </c>
      <c r="AI180" t="s">
        <v>1804</v>
      </c>
      <c r="AJ180" t="s">
        <v>1055</v>
      </c>
      <c r="AK180" s="576">
        <v>44286</v>
      </c>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t="s">
        <v>1810</v>
      </c>
      <c r="BR180" t="s">
        <v>1811</v>
      </c>
      <c r="BS180" t="s">
        <v>742</v>
      </c>
      <c r="BT180" t="s">
        <v>1809</v>
      </c>
      <c r="BU180">
        <v>3305281765</v>
      </c>
      <c r="BV180"/>
      <c r="BW180">
        <v>3305281796</v>
      </c>
      <c r="BX180" t="s">
        <v>1812</v>
      </c>
      <c r="BY180" t="s">
        <v>1803</v>
      </c>
      <c r="BZ180" t="s">
        <v>931</v>
      </c>
      <c r="CA180" t="s">
        <v>1802</v>
      </c>
      <c r="CB180" t="s">
        <v>1804</v>
      </c>
      <c r="CC180" t="s">
        <v>1055</v>
      </c>
      <c r="CD180" s="576">
        <v>44286</v>
      </c>
      <c r="CE180"/>
      <c r="CF180" t="s">
        <v>1813</v>
      </c>
      <c r="CG180" t="s">
        <v>1814</v>
      </c>
      <c r="CH180" t="s">
        <v>141</v>
      </c>
      <c r="CI180"/>
      <c r="CJ180"/>
      <c r="CK180"/>
      <c r="CL180"/>
      <c r="CM180"/>
      <c r="CN180">
        <v>1970</v>
      </c>
      <c r="CO180">
        <v>1968</v>
      </c>
      <c r="CP180"/>
      <c r="CQ180"/>
      <c r="CR180">
        <v>1969</v>
      </c>
      <c r="CS180" t="s">
        <v>788</v>
      </c>
      <c r="CT180">
        <v>12</v>
      </c>
      <c r="CU180"/>
      <c r="CV180"/>
      <c r="CW180"/>
      <c r="CX180"/>
      <c r="CY180"/>
      <c r="CZ180"/>
      <c r="DA180"/>
      <c r="DB180"/>
      <c r="DC180"/>
      <c r="DD180"/>
      <c r="DE180"/>
      <c r="DF180"/>
      <c r="DG180"/>
      <c r="DH180"/>
      <c r="DI180"/>
      <c r="DJ180"/>
      <c r="DK180"/>
      <c r="DL180"/>
      <c r="DM180"/>
      <c r="DN180"/>
      <c r="DO180"/>
      <c r="DP180"/>
      <c r="DQ180"/>
      <c r="DR180"/>
      <c r="DS180"/>
      <c r="DT180"/>
      <c r="DU180"/>
      <c r="DV180"/>
      <c r="DW180"/>
      <c r="DX180"/>
      <c r="DY180"/>
      <c r="DZ180"/>
      <c r="EA180"/>
      <c r="EB180"/>
      <c r="EC180"/>
      <c r="ED180"/>
      <c r="EE180"/>
      <c r="EF180"/>
      <c r="EG180"/>
      <c r="EH180"/>
      <c r="EI180"/>
      <c r="EJ180"/>
      <c r="EK180"/>
      <c r="EL180"/>
      <c r="EM180"/>
      <c r="EN180"/>
      <c r="EO180"/>
      <c r="EP180"/>
      <c r="EQ180"/>
      <c r="ER180">
        <v>193</v>
      </c>
      <c r="ES180"/>
      <c r="ET180"/>
      <c r="EU180"/>
      <c r="EV180" s="439">
        <v>1967</v>
      </c>
      <c r="EW180" t="s">
        <v>2146</v>
      </c>
      <c r="EX180" t="s">
        <v>1278</v>
      </c>
      <c r="EY180" t="s">
        <v>2147</v>
      </c>
      <c r="EZ180" t="s">
        <v>54</v>
      </c>
      <c r="FA180">
        <v>56501</v>
      </c>
      <c r="FB180">
        <v>1942382379</v>
      </c>
    </row>
    <row r="181" spans="1:158" x14ac:dyDescent="0.2">
      <c r="A181" s="439">
        <v>1781</v>
      </c>
      <c r="B181" t="s">
        <v>1815</v>
      </c>
      <c r="C181" t="s">
        <v>1802</v>
      </c>
      <c r="D181" t="s">
        <v>1803</v>
      </c>
      <c r="E181" t="s">
        <v>931</v>
      </c>
      <c r="F181"/>
      <c r="G181" t="s">
        <v>1055</v>
      </c>
      <c r="H181" s="576">
        <v>44286</v>
      </c>
      <c r="I181"/>
      <c r="J181" t="s">
        <v>1803</v>
      </c>
      <c r="K181" t="s">
        <v>931</v>
      </c>
      <c r="L181" t="s">
        <v>1802</v>
      </c>
      <c r="M181" t="s">
        <v>1804</v>
      </c>
      <c r="N181" t="s">
        <v>1055</v>
      </c>
      <c r="O181" s="576">
        <v>44286</v>
      </c>
      <c r="P181"/>
      <c r="Q181">
        <v>3305281765</v>
      </c>
      <c r="R181">
        <v>3305281796</v>
      </c>
      <c r="S181" t="s">
        <v>790</v>
      </c>
      <c r="T181" t="s">
        <v>1805</v>
      </c>
      <c r="U181" t="s">
        <v>1806</v>
      </c>
      <c r="V181" t="s">
        <v>1807</v>
      </c>
      <c r="W181" t="s">
        <v>1808</v>
      </c>
      <c r="X181" t="s">
        <v>790</v>
      </c>
      <c r="Y181" t="s">
        <v>1805</v>
      </c>
      <c r="Z181" t="s">
        <v>1806</v>
      </c>
      <c r="AA181" t="s">
        <v>1809</v>
      </c>
      <c r="AB181">
        <v>3305281754</v>
      </c>
      <c r="AC181"/>
      <c r="AD181">
        <v>3305281796</v>
      </c>
      <c r="AE181" t="s">
        <v>1807</v>
      </c>
      <c r="AF181" t="s">
        <v>1803</v>
      </c>
      <c r="AG181" t="s">
        <v>931</v>
      </c>
      <c r="AH181" t="s">
        <v>1802</v>
      </c>
      <c r="AI181" t="s">
        <v>1804</v>
      </c>
      <c r="AJ181" t="s">
        <v>1055</v>
      </c>
      <c r="AK181" s="576">
        <v>44286</v>
      </c>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t="s">
        <v>1810</v>
      </c>
      <c r="BR181" t="s">
        <v>1811</v>
      </c>
      <c r="BS181" t="s">
        <v>742</v>
      </c>
      <c r="BT181" t="s">
        <v>1809</v>
      </c>
      <c r="BU181">
        <v>3305281765</v>
      </c>
      <c r="BV181"/>
      <c r="BW181">
        <v>3305281796</v>
      </c>
      <c r="BX181" t="s">
        <v>1812</v>
      </c>
      <c r="BY181" t="s">
        <v>1803</v>
      </c>
      <c r="BZ181" t="s">
        <v>931</v>
      </c>
      <c r="CA181" t="s">
        <v>1802</v>
      </c>
      <c r="CB181" t="s">
        <v>1804</v>
      </c>
      <c r="CC181" t="s">
        <v>1055</v>
      </c>
      <c r="CD181" s="576">
        <v>44286</v>
      </c>
      <c r="CE181"/>
      <c r="CF181" t="s">
        <v>1813</v>
      </c>
      <c r="CG181" t="s">
        <v>1814</v>
      </c>
      <c r="CH181" t="s">
        <v>141</v>
      </c>
      <c r="CI181"/>
      <c r="CJ181"/>
      <c r="CK181"/>
      <c r="CL181"/>
      <c r="CM181"/>
      <c r="CN181">
        <v>1970</v>
      </c>
      <c r="CO181">
        <v>1968</v>
      </c>
      <c r="CP181"/>
      <c r="CQ181"/>
      <c r="CR181">
        <v>1969</v>
      </c>
      <c r="CS181" t="s">
        <v>788</v>
      </c>
      <c r="CT181">
        <v>12</v>
      </c>
      <c r="CU181"/>
      <c r="CV181"/>
      <c r="CW181"/>
      <c r="CX181"/>
      <c r="CY181"/>
      <c r="CZ181"/>
      <c r="DA181"/>
      <c r="DB181"/>
      <c r="DC181"/>
      <c r="DD181"/>
      <c r="DE181"/>
      <c r="DF181"/>
      <c r="DG181"/>
      <c r="DH181"/>
      <c r="DI181"/>
      <c r="DJ181"/>
      <c r="DK181"/>
      <c r="DL181"/>
      <c r="DM181"/>
      <c r="DN181"/>
      <c r="DO181"/>
      <c r="DP181"/>
      <c r="DQ181"/>
      <c r="DR181"/>
      <c r="DS181"/>
      <c r="DT181"/>
      <c r="DU181"/>
      <c r="DV181"/>
      <c r="DW181"/>
      <c r="DX181"/>
      <c r="DY181"/>
      <c r="DZ181"/>
      <c r="EA181"/>
      <c r="EB181"/>
      <c r="EC181"/>
      <c r="ED181"/>
      <c r="EE181"/>
      <c r="EF181"/>
      <c r="EG181"/>
      <c r="EH181"/>
      <c r="EI181"/>
      <c r="EJ181"/>
      <c r="EK181"/>
      <c r="EL181"/>
      <c r="EM181"/>
      <c r="EN181"/>
      <c r="EO181"/>
      <c r="EP181"/>
      <c r="EQ181"/>
      <c r="ER181">
        <v>193</v>
      </c>
      <c r="ES181"/>
      <c r="ET181"/>
      <c r="EU181"/>
      <c r="EV181" s="439">
        <v>583</v>
      </c>
      <c r="EW181" t="s">
        <v>2299</v>
      </c>
      <c r="EX181" t="s">
        <v>1278</v>
      </c>
      <c r="EY181" t="s">
        <v>2300</v>
      </c>
      <c r="EZ181" t="s">
        <v>54</v>
      </c>
      <c r="FA181">
        <v>56501</v>
      </c>
      <c r="FB181">
        <v>1235170747</v>
      </c>
    </row>
    <row r="182" spans="1:158" x14ac:dyDescent="0.2">
      <c r="A182" s="439">
        <v>589</v>
      </c>
      <c r="B182" t="s">
        <v>1816</v>
      </c>
      <c r="C182" t="s">
        <v>1817</v>
      </c>
      <c r="D182" t="s">
        <v>1818</v>
      </c>
      <c r="E182"/>
      <c r="F182" t="s">
        <v>1819</v>
      </c>
      <c r="G182" t="s">
        <v>54</v>
      </c>
      <c r="H182" s="576">
        <v>55387</v>
      </c>
      <c r="I182"/>
      <c r="J182" t="s">
        <v>1818</v>
      </c>
      <c r="K182"/>
      <c r="L182" t="s">
        <v>1817</v>
      </c>
      <c r="M182" t="s">
        <v>1819</v>
      </c>
      <c r="N182" t="s">
        <v>54</v>
      </c>
      <c r="O182" s="576">
        <v>55387</v>
      </c>
      <c r="P182"/>
      <c r="Q182">
        <v>9524424461</v>
      </c>
      <c r="R182">
        <v>9524421547</v>
      </c>
      <c r="S182" t="s">
        <v>1820</v>
      </c>
      <c r="T182" t="s">
        <v>1821</v>
      </c>
      <c r="U182" t="s">
        <v>742</v>
      </c>
      <c r="V182" t="s">
        <v>1822</v>
      </c>
      <c r="W182"/>
      <c r="X182" t="s">
        <v>1823</v>
      </c>
      <c r="Y182" t="s">
        <v>1824</v>
      </c>
      <c r="Z182" t="s">
        <v>995</v>
      </c>
      <c r="AA182" t="s">
        <v>1816</v>
      </c>
      <c r="AB182">
        <v>9524424461</v>
      </c>
      <c r="AC182"/>
      <c r="AD182">
        <v>9524421547</v>
      </c>
      <c r="AE182" t="s">
        <v>1825</v>
      </c>
      <c r="AF182" t="s">
        <v>1818</v>
      </c>
      <c r="AG182"/>
      <c r="AH182" t="s">
        <v>1817</v>
      </c>
      <c r="AI182" t="s">
        <v>1819</v>
      </c>
      <c r="AJ182" t="s">
        <v>54</v>
      </c>
      <c r="AK182" s="576">
        <v>55387</v>
      </c>
      <c r="AL182"/>
      <c r="AM182" t="s">
        <v>872</v>
      </c>
      <c r="AN182" t="s">
        <v>1826</v>
      </c>
      <c r="AO182" t="s">
        <v>1827</v>
      </c>
      <c r="AP182" t="s">
        <v>1816</v>
      </c>
      <c r="AQ182">
        <v>9524424461</v>
      </c>
      <c r="AR182">
        <v>17294</v>
      </c>
      <c r="AS182">
        <v>9524421547</v>
      </c>
      <c r="AT182" t="s">
        <v>1828</v>
      </c>
      <c r="AU182" t="s">
        <v>1818</v>
      </c>
      <c r="AV182"/>
      <c r="AW182" t="s">
        <v>1817</v>
      </c>
      <c r="AX182" t="s">
        <v>1819</v>
      </c>
      <c r="AY182" t="s">
        <v>54</v>
      </c>
      <c r="AZ182" s="576">
        <v>55387</v>
      </c>
      <c r="BA182"/>
      <c r="BB182"/>
      <c r="BC182"/>
      <c r="BD182"/>
      <c r="BE182"/>
      <c r="BF182"/>
      <c r="BG182"/>
      <c r="BH182"/>
      <c r="BI182"/>
      <c r="BJ182"/>
      <c r="BK182"/>
      <c r="BL182"/>
      <c r="BM182"/>
      <c r="BN182"/>
      <c r="BO182"/>
      <c r="BP182"/>
      <c r="BQ182" t="s">
        <v>1820</v>
      </c>
      <c r="BR182" t="s">
        <v>1821</v>
      </c>
      <c r="BS182" t="s">
        <v>742</v>
      </c>
      <c r="BT182" t="s">
        <v>1816</v>
      </c>
      <c r="BU182">
        <v>9524424461</v>
      </c>
      <c r="BV182"/>
      <c r="BW182">
        <v>9524421547</v>
      </c>
      <c r="BX182"/>
      <c r="BY182" t="s">
        <v>1818</v>
      </c>
      <c r="BZ182"/>
      <c r="CA182" t="s">
        <v>1817</v>
      </c>
      <c r="CB182" t="s">
        <v>1819</v>
      </c>
      <c r="CC182" t="s">
        <v>54</v>
      </c>
      <c r="CD182" s="576">
        <v>55387</v>
      </c>
      <c r="CE182"/>
      <c r="CF182" t="s">
        <v>1829</v>
      </c>
      <c r="CG182" t="s">
        <v>733</v>
      </c>
      <c r="CH182"/>
      <c r="CI182"/>
      <c r="CJ182"/>
      <c r="CK182"/>
      <c r="CL182"/>
      <c r="CM182">
        <v>1669599981</v>
      </c>
      <c r="CN182">
        <v>361</v>
      </c>
      <c r="CO182">
        <v>161</v>
      </c>
      <c r="CP182">
        <v>141</v>
      </c>
      <c r="CQ182"/>
      <c r="CR182">
        <v>363</v>
      </c>
      <c r="CS182" t="s">
        <v>788</v>
      </c>
      <c r="CT182">
        <v>12</v>
      </c>
      <c r="CU182"/>
      <c r="CV182"/>
      <c r="CW182"/>
      <c r="CX182"/>
      <c r="CY182"/>
      <c r="CZ182"/>
      <c r="DA182"/>
      <c r="DB182"/>
      <c r="DC182"/>
      <c r="DD182">
        <v>128</v>
      </c>
      <c r="DE182" t="s">
        <v>1830</v>
      </c>
      <c r="DF182"/>
      <c r="DG182"/>
      <c r="DH182">
        <v>129</v>
      </c>
      <c r="DI182" t="s">
        <v>974</v>
      </c>
      <c r="DJ182"/>
      <c r="DK182"/>
      <c r="DL182"/>
      <c r="DM182"/>
      <c r="DN182"/>
      <c r="DO182"/>
      <c r="DP182"/>
      <c r="DQ182"/>
      <c r="DR182"/>
      <c r="DS182"/>
      <c r="DT182"/>
      <c r="DU182"/>
      <c r="DV182"/>
      <c r="DW182"/>
      <c r="DX182"/>
      <c r="DY182"/>
      <c r="DZ182"/>
      <c r="EA182"/>
      <c r="EB182"/>
      <c r="EC182"/>
      <c r="ED182"/>
      <c r="EE182"/>
      <c r="EF182"/>
      <c r="EG182"/>
      <c r="EH182"/>
      <c r="EI182"/>
      <c r="EJ182"/>
      <c r="EK182"/>
      <c r="EL182"/>
      <c r="EM182"/>
      <c r="EN182"/>
      <c r="EO182"/>
      <c r="EP182"/>
      <c r="EQ182"/>
      <c r="ER182">
        <v>0</v>
      </c>
      <c r="ES182"/>
      <c r="ET182"/>
      <c r="EU182"/>
      <c r="EV182" s="439">
        <v>375</v>
      </c>
      <c r="EW182" t="s">
        <v>2861</v>
      </c>
      <c r="EX182" t="s">
        <v>1278</v>
      </c>
      <c r="EY182" t="s">
        <v>2300</v>
      </c>
      <c r="EZ182" t="s">
        <v>54</v>
      </c>
      <c r="FA182">
        <v>56501</v>
      </c>
      <c r="FB182">
        <v>1922303213</v>
      </c>
    </row>
    <row r="183" spans="1:158" x14ac:dyDescent="0.2">
      <c r="A183" s="439">
        <v>536</v>
      </c>
      <c r="B183" t="s">
        <v>1831</v>
      </c>
      <c r="C183" t="s">
        <v>967</v>
      </c>
      <c r="D183" t="s">
        <v>1832</v>
      </c>
      <c r="E183" t="s">
        <v>1833</v>
      </c>
      <c r="F183" t="s">
        <v>744</v>
      </c>
      <c r="G183" t="s">
        <v>54</v>
      </c>
      <c r="H183" s="576">
        <v>55435</v>
      </c>
      <c r="I183"/>
      <c r="J183" t="s">
        <v>1832</v>
      </c>
      <c r="K183" t="s">
        <v>1833</v>
      </c>
      <c r="L183" t="s">
        <v>967</v>
      </c>
      <c r="M183" t="s">
        <v>744</v>
      </c>
      <c r="N183" t="s">
        <v>54</v>
      </c>
      <c r="O183" s="576">
        <v>55435</v>
      </c>
      <c r="P183"/>
      <c r="Q183">
        <v>9529379700</v>
      </c>
      <c r="R183">
        <v>9529379701</v>
      </c>
      <c r="S183" t="s">
        <v>1834</v>
      </c>
      <c r="T183" t="s">
        <v>1835</v>
      </c>
      <c r="U183" t="s">
        <v>1836</v>
      </c>
      <c r="V183"/>
      <c r="W183" t="s">
        <v>1837</v>
      </c>
      <c r="X183" t="s">
        <v>1823</v>
      </c>
      <c r="Y183" t="s">
        <v>1838</v>
      </c>
      <c r="Z183"/>
      <c r="AA183" t="s">
        <v>1839</v>
      </c>
      <c r="AB183">
        <v>6512922014</v>
      </c>
      <c r="AC183"/>
      <c r="AD183">
        <v>6512922131</v>
      </c>
      <c r="AE183" t="s">
        <v>1840</v>
      </c>
      <c r="AF183" t="s">
        <v>1841</v>
      </c>
      <c r="AG183" t="s">
        <v>911</v>
      </c>
      <c r="AH183" t="s">
        <v>1133</v>
      </c>
      <c r="AI183" t="s">
        <v>912</v>
      </c>
      <c r="AJ183" t="s">
        <v>54</v>
      </c>
      <c r="AK183" s="576">
        <v>55113</v>
      </c>
      <c r="AL183" t="s">
        <v>749</v>
      </c>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c r="BR183"/>
      <c r="BS183"/>
      <c r="BT183"/>
      <c r="BU183"/>
      <c r="BV183"/>
      <c r="BW183"/>
      <c r="BX183"/>
      <c r="BY183"/>
      <c r="BZ183"/>
      <c r="CA183"/>
      <c r="CB183"/>
      <c r="CC183"/>
      <c r="CD183"/>
      <c r="CE183"/>
      <c r="CF183" t="s">
        <v>1842</v>
      </c>
      <c r="CG183" t="s">
        <v>1843</v>
      </c>
      <c r="CH183" t="s">
        <v>141</v>
      </c>
      <c r="CI183"/>
      <c r="CJ183"/>
      <c r="CK183"/>
      <c r="CL183"/>
      <c r="CM183">
        <v>1396748307</v>
      </c>
      <c r="CN183">
        <v>2284</v>
      </c>
      <c r="CO183">
        <v>140</v>
      </c>
      <c r="CP183"/>
      <c r="CQ183"/>
      <c r="CR183"/>
      <c r="CS183" t="s">
        <v>788</v>
      </c>
      <c r="CT183">
        <v>12</v>
      </c>
      <c r="CU183">
        <v>130</v>
      </c>
      <c r="CV183"/>
      <c r="CW183"/>
      <c r="CX183"/>
      <c r="CY183"/>
      <c r="CZ183"/>
      <c r="DA183"/>
      <c r="DB183"/>
      <c r="DC183"/>
      <c r="DD183"/>
      <c r="DE183"/>
      <c r="DF183">
        <v>131</v>
      </c>
      <c r="DG183" t="s">
        <v>1844</v>
      </c>
      <c r="DH183">
        <v>129</v>
      </c>
      <c r="DI183" t="s">
        <v>1845</v>
      </c>
      <c r="DJ183"/>
      <c r="DK183"/>
      <c r="DL183"/>
      <c r="DM183"/>
      <c r="DN183"/>
      <c r="DO183"/>
      <c r="DP183"/>
      <c r="DQ183"/>
      <c r="DR183"/>
      <c r="DS183"/>
      <c r="DT183"/>
      <c r="DU183"/>
      <c r="DV183"/>
      <c r="DW183"/>
      <c r="DX183"/>
      <c r="DY183"/>
      <c r="DZ183"/>
      <c r="EA183"/>
      <c r="EB183"/>
      <c r="EC183"/>
      <c r="ED183"/>
      <c r="EE183"/>
      <c r="EF183"/>
      <c r="EG183"/>
      <c r="EH183"/>
      <c r="EI183"/>
      <c r="EJ183"/>
      <c r="EK183"/>
      <c r="EL183"/>
      <c r="EM183"/>
      <c r="EN183"/>
      <c r="EO183"/>
      <c r="EP183"/>
      <c r="EQ183"/>
      <c r="ER183">
        <v>187</v>
      </c>
      <c r="ES183"/>
      <c r="ET183"/>
      <c r="EU183"/>
      <c r="EV183" s="439">
        <v>147</v>
      </c>
      <c r="EW183" t="s">
        <v>2862</v>
      </c>
      <c r="EX183" t="s">
        <v>1278</v>
      </c>
      <c r="EY183" t="s">
        <v>2863</v>
      </c>
      <c r="EZ183" t="s">
        <v>54</v>
      </c>
      <c r="FA183">
        <v>56501</v>
      </c>
      <c r="FB183">
        <v>1679561088</v>
      </c>
    </row>
    <row r="184" spans="1:158" x14ac:dyDescent="0.2">
      <c r="A184" s="439">
        <v>1693</v>
      </c>
      <c r="B184" t="s">
        <v>1846</v>
      </c>
      <c r="C184" t="s">
        <v>1847</v>
      </c>
      <c r="D184" t="s">
        <v>1848</v>
      </c>
      <c r="E184"/>
      <c r="F184"/>
      <c r="G184" t="s">
        <v>1849</v>
      </c>
      <c r="H184" s="576">
        <v>50401</v>
      </c>
      <c r="I184"/>
      <c r="J184" t="s">
        <v>1848</v>
      </c>
      <c r="K184"/>
      <c r="L184" t="s">
        <v>1847</v>
      </c>
      <c r="M184"/>
      <c r="N184" t="s">
        <v>1849</v>
      </c>
      <c r="O184" s="576">
        <v>50401</v>
      </c>
      <c r="P184"/>
      <c r="Q184">
        <v>6512011905</v>
      </c>
      <c r="R184">
        <v>6414248059</v>
      </c>
      <c r="S184" t="s">
        <v>1850</v>
      </c>
      <c r="T184" t="s">
        <v>1851</v>
      </c>
      <c r="U184" t="s">
        <v>740</v>
      </c>
      <c r="V184" t="s">
        <v>1852</v>
      </c>
      <c r="W184" t="s">
        <v>1853</v>
      </c>
      <c r="X184" t="s">
        <v>1850</v>
      </c>
      <c r="Y184" t="s">
        <v>1851</v>
      </c>
      <c r="Z184" t="s">
        <v>740</v>
      </c>
      <c r="AA184" t="s">
        <v>1846</v>
      </c>
      <c r="AB184">
        <v>6414240102</v>
      </c>
      <c r="AC184">
        <v>4016</v>
      </c>
      <c r="AD184">
        <v>6414248059</v>
      </c>
      <c r="AE184" t="s">
        <v>1852</v>
      </c>
      <c r="AF184" t="s">
        <v>1848</v>
      </c>
      <c r="AG184"/>
      <c r="AH184" t="s">
        <v>1847</v>
      </c>
      <c r="AI184"/>
      <c r="AJ184" t="s">
        <v>1849</v>
      </c>
      <c r="AK184" s="576">
        <v>50401</v>
      </c>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c r="BR184"/>
      <c r="BS184"/>
      <c r="BT184"/>
      <c r="BU184"/>
      <c r="BV184"/>
      <c r="BW184"/>
      <c r="BX184"/>
      <c r="BY184"/>
      <c r="BZ184"/>
      <c r="CA184"/>
      <c r="CB184"/>
      <c r="CC184"/>
      <c r="CD184"/>
      <c r="CE184"/>
      <c r="CF184"/>
      <c r="CG184" t="s">
        <v>733</v>
      </c>
      <c r="CH184"/>
      <c r="CI184"/>
      <c r="CJ184"/>
      <c r="CK184"/>
      <c r="CL184"/>
      <c r="CM184">
        <v>1093767113</v>
      </c>
      <c r="CN184">
        <v>536</v>
      </c>
      <c r="CO184">
        <v>543</v>
      </c>
      <c r="CP184"/>
      <c r="CQ184"/>
      <c r="CR184"/>
      <c r="CS184" t="s">
        <v>788</v>
      </c>
      <c r="CT184">
        <v>12</v>
      </c>
      <c r="CU184"/>
      <c r="CV184"/>
      <c r="CW184"/>
      <c r="CX184"/>
      <c r="CY184"/>
      <c r="CZ184"/>
      <c r="DA184"/>
      <c r="DB184"/>
      <c r="DC184"/>
      <c r="DD184"/>
      <c r="DE184"/>
      <c r="DF184"/>
      <c r="DG184"/>
      <c r="DH184"/>
      <c r="DI184"/>
      <c r="DJ184"/>
      <c r="DK184"/>
      <c r="DL184"/>
      <c r="DM184"/>
      <c r="DN184"/>
      <c r="DO184"/>
      <c r="DP184"/>
      <c r="DQ184"/>
      <c r="DR184"/>
      <c r="DS184"/>
      <c r="DT184">
        <v>141</v>
      </c>
      <c r="DU184" t="s">
        <v>1854</v>
      </c>
      <c r="DV184"/>
      <c r="DW184"/>
      <c r="DX184"/>
      <c r="DY184"/>
      <c r="DZ184"/>
      <c r="EA184"/>
      <c r="EB184"/>
      <c r="EC184"/>
      <c r="ED184"/>
      <c r="EE184"/>
      <c r="EF184"/>
      <c r="EG184"/>
      <c r="EH184"/>
      <c r="EI184"/>
      <c r="EJ184"/>
      <c r="EK184"/>
      <c r="EL184"/>
      <c r="EM184"/>
      <c r="EN184"/>
      <c r="EO184"/>
      <c r="EP184"/>
      <c r="EQ184"/>
      <c r="ER184">
        <v>0</v>
      </c>
      <c r="ES184"/>
      <c r="ET184"/>
      <c r="EU184"/>
      <c r="EV184" s="439">
        <v>423</v>
      </c>
      <c r="EW184" t="s">
        <v>1019</v>
      </c>
      <c r="EX184" t="s">
        <v>1020</v>
      </c>
      <c r="EY184" t="s">
        <v>1021</v>
      </c>
      <c r="EZ184" t="s">
        <v>54</v>
      </c>
      <c r="FA184">
        <v>55811</v>
      </c>
      <c r="FB184"/>
    </row>
    <row r="185" spans="1:158" ht="13.5" customHeight="1" x14ac:dyDescent="0.2">
      <c r="A185" s="439">
        <v>901</v>
      </c>
      <c r="B185" t="s">
        <v>1855</v>
      </c>
      <c r="C185" t="s">
        <v>1856</v>
      </c>
      <c r="D185" t="s">
        <v>1857</v>
      </c>
      <c r="E185"/>
      <c r="F185" t="s">
        <v>1382</v>
      </c>
      <c r="G185" t="s">
        <v>54</v>
      </c>
      <c r="H185" s="576">
        <v>56002</v>
      </c>
      <c r="I185" s="576">
        <v>8674</v>
      </c>
      <c r="J185" t="s">
        <v>1858</v>
      </c>
      <c r="K185"/>
      <c r="L185" t="s">
        <v>1856</v>
      </c>
      <c r="M185" t="s">
        <v>1382</v>
      </c>
      <c r="N185" t="s">
        <v>54</v>
      </c>
      <c r="O185" s="576">
        <v>56002</v>
      </c>
      <c r="P185" s="576">
        <v>8674</v>
      </c>
      <c r="Q185">
        <v>5076251811</v>
      </c>
      <c r="R185">
        <v>5076255566</v>
      </c>
      <c r="S185" t="s">
        <v>1859</v>
      </c>
      <c r="T185" t="s">
        <v>1860</v>
      </c>
      <c r="U185" t="s">
        <v>742</v>
      </c>
      <c r="V185" t="s">
        <v>1861</v>
      </c>
      <c r="W185" t="s">
        <v>1862</v>
      </c>
      <c r="X185" t="s">
        <v>1863</v>
      </c>
      <c r="Y185" t="s">
        <v>1864</v>
      </c>
      <c r="Z185" t="s">
        <v>1431</v>
      </c>
      <c r="AA185" t="s">
        <v>1855</v>
      </c>
      <c r="AB185">
        <v>5073854105</v>
      </c>
      <c r="AC185"/>
      <c r="AD185">
        <v>5076253704</v>
      </c>
      <c r="AE185" t="s">
        <v>1865</v>
      </c>
      <c r="AF185" t="s">
        <v>1857</v>
      </c>
      <c r="AG185" t="s">
        <v>1858</v>
      </c>
      <c r="AH185" t="s">
        <v>1856</v>
      </c>
      <c r="AI185" t="s">
        <v>1382</v>
      </c>
      <c r="AJ185" t="s">
        <v>54</v>
      </c>
      <c r="AK185" s="576">
        <v>56002</v>
      </c>
      <c r="AL185" s="576">
        <v>8674</v>
      </c>
      <c r="AM185" t="s">
        <v>1866</v>
      </c>
      <c r="AN185" t="s">
        <v>1867</v>
      </c>
      <c r="AO185" t="s">
        <v>1868</v>
      </c>
      <c r="AP185" t="s">
        <v>1855</v>
      </c>
      <c r="AQ185">
        <v>5073898504</v>
      </c>
      <c r="AR185"/>
      <c r="AS185">
        <v>5076253704</v>
      </c>
      <c r="AT185" t="s">
        <v>1869</v>
      </c>
      <c r="AU185" t="s">
        <v>1857</v>
      </c>
      <c r="AV185" t="s">
        <v>1858</v>
      </c>
      <c r="AW185" t="s">
        <v>1856</v>
      </c>
      <c r="AX185" t="s">
        <v>1382</v>
      </c>
      <c r="AY185" t="s">
        <v>54</v>
      </c>
      <c r="AZ185" s="576">
        <v>56002</v>
      </c>
      <c r="BA185" s="576">
        <v>8674</v>
      </c>
      <c r="BB185"/>
      <c r="BC185"/>
      <c r="BD185"/>
      <c r="BE185"/>
      <c r="BF185"/>
      <c r="BG185"/>
      <c r="BH185"/>
      <c r="BI185"/>
      <c r="BJ185"/>
      <c r="BK185"/>
      <c r="BL185"/>
      <c r="BM185"/>
      <c r="BN185"/>
      <c r="BO185"/>
      <c r="BP185"/>
      <c r="BQ185"/>
      <c r="BR185"/>
      <c r="BS185"/>
      <c r="BT185"/>
      <c r="BU185"/>
      <c r="BV185"/>
      <c r="BW185"/>
      <c r="BX185"/>
      <c r="BY185"/>
      <c r="BZ185"/>
      <c r="CA185"/>
      <c r="CB185"/>
      <c r="CC185"/>
      <c r="CD185"/>
      <c r="CE185"/>
      <c r="CF185" t="s">
        <v>1870</v>
      </c>
      <c r="CG185" t="s">
        <v>1871</v>
      </c>
      <c r="CH185" t="s">
        <v>141</v>
      </c>
      <c r="CI185"/>
      <c r="CJ185"/>
      <c r="CK185"/>
      <c r="CL185"/>
      <c r="CM185">
        <v>1629044029</v>
      </c>
      <c r="CN185">
        <v>404</v>
      </c>
      <c r="CO185">
        <v>402</v>
      </c>
      <c r="CP185">
        <v>403</v>
      </c>
      <c r="CQ185"/>
      <c r="CR185"/>
      <c r="CS185" t="s">
        <v>788</v>
      </c>
      <c r="CT185">
        <v>12</v>
      </c>
      <c r="CU185">
        <v>71</v>
      </c>
      <c r="CV185"/>
      <c r="CW185"/>
      <c r="CX185"/>
      <c r="CY185"/>
      <c r="CZ185"/>
      <c r="DA185"/>
      <c r="DB185"/>
      <c r="DC185"/>
      <c r="DD185">
        <v>128</v>
      </c>
      <c r="DE185" t="s">
        <v>1872</v>
      </c>
      <c r="DF185"/>
      <c r="DG185"/>
      <c r="DH185">
        <v>129</v>
      </c>
      <c r="DI185" t="s">
        <v>1873</v>
      </c>
      <c r="DJ185">
        <v>130</v>
      </c>
      <c r="DK185" t="s">
        <v>1874</v>
      </c>
      <c r="DL185"/>
      <c r="DM185"/>
      <c r="DN185"/>
      <c r="DO185"/>
      <c r="DP185"/>
      <c r="DQ185"/>
      <c r="DR185"/>
      <c r="DS185"/>
      <c r="DT185"/>
      <c r="DU185"/>
      <c r="DV185"/>
      <c r="DW185"/>
      <c r="DX185"/>
      <c r="DY185"/>
      <c r="DZ185"/>
      <c r="EA185"/>
      <c r="EB185"/>
      <c r="EC185"/>
      <c r="ED185"/>
      <c r="EE185"/>
      <c r="EF185"/>
      <c r="EG185"/>
      <c r="EH185"/>
      <c r="EI185"/>
      <c r="EJ185"/>
      <c r="EK185"/>
      <c r="EL185"/>
      <c r="EM185"/>
      <c r="EN185"/>
      <c r="EO185"/>
      <c r="EP185"/>
      <c r="EQ185"/>
      <c r="ER185">
        <v>70</v>
      </c>
      <c r="ES185"/>
      <c r="ET185"/>
      <c r="EU185"/>
      <c r="EV185" s="439">
        <v>1468</v>
      </c>
      <c r="EW185" t="s">
        <v>1019</v>
      </c>
      <c r="EX185" t="s">
        <v>1020</v>
      </c>
      <c r="EY185" t="s">
        <v>1021</v>
      </c>
      <c r="EZ185" t="s">
        <v>54</v>
      </c>
      <c r="FA185">
        <v>55811</v>
      </c>
      <c r="FB185"/>
    </row>
    <row r="186" spans="1:158" s="435" customFormat="1" x14ac:dyDescent="0.2">
      <c r="A186" s="439">
        <v>1367</v>
      </c>
      <c r="B186" t="s">
        <v>1875</v>
      </c>
      <c r="C186" t="s">
        <v>1856</v>
      </c>
      <c r="D186" t="s">
        <v>1876</v>
      </c>
      <c r="E186"/>
      <c r="F186" t="s">
        <v>1382</v>
      </c>
      <c r="G186" t="s">
        <v>54</v>
      </c>
      <c r="H186" s="576">
        <v>56001</v>
      </c>
      <c r="I186" t="s">
        <v>749</v>
      </c>
      <c r="J186" t="s">
        <v>1858</v>
      </c>
      <c r="K186"/>
      <c r="L186" t="s">
        <v>1856</v>
      </c>
      <c r="M186" t="s">
        <v>1382</v>
      </c>
      <c r="N186" t="s">
        <v>54</v>
      </c>
      <c r="O186" s="576">
        <v>56002</v>
      </c>
      <c r="P186" s="576">
        <v>8674</v>
      </c>
      <c r="Q186">
        <v>5076251811</v>
      </c>
      <c r="R186">
        <v>5076255566</v>
      </c>
      <c r="S186" t="s">
        <v>1859</v>
      </c>
      <c r="T186" t="s">
        <v>1860</v>
      </c>
      <c r="U186" t="s">
        <v>742</v>
      </c>
      <c r="V186" t="s">
        <v>1861</v>
      </c>
      <c r="W186" t="s">
        <v>1862</v>
      </c>
      <c r="X186" t="s">
        <v>1863</v>
      </c>
      <c r="Y186" t="s">
        <v>1864</v>
      </c>
      <c r="Z186" t="s">
        <v>1431</v>
      </c>
      <c r="AA186" t="s">
        <v>1855</v>
      </c>
      <c r="AB186">
        <v>5073854105</v>
      </c>
      <c r="AC186"/>
      <c r="AD186">
        <v>5076253704</v>
      </c>
      <c r="AE186" t="s">
        <v>1865</v>
      </c>
      <c r="AF186" t="s">
        <v>1857</v>
      </c>
      <c r="AG186" t="s">
        <v>1858</v>
      </c>
      <c r="AH186" t="s">
        <v>1856</v>
      </c>
      <c r="AI186" t="s">
        <v>1382</v>
      </c>
      <c r="AJ186" t="s">
        <v>54</v>
      </c>
      <c r="AK186" s="576">
        <v>56002</v>
      </c>
      <c r="AL186" s="576">
        <v>8674</v>
      </c>
      <c r="AM186" t="s">
        <v>1866</v>
      </c>
      <c r="AN186" t="s">
        <v>1867</v>
      </c>
      <c r="AO186" t="s">
        <v>1868</v>
      </c>
      <c r="AP186" t="s">
        <v>1855</v>
      </c>
      <c r="AQ186">
        <v>5073898504</v>
      </c>
      <c r="AR186"/>
      <c r="AS186">
        <v>5076253704</v>
      </c>
      <c r="AT186" t="s">
        <v>1869</v>
      </c>
      <c r="AU186" t="s">
        <v>1857</v>
      </c>
      <c r="AV186" t="s">
        <v>1858</v>
      </c>
      <c r="AW186" t="s">
        <v>1856</v>
      </c>
      <c r="AX186" t="s">
        <v>1382</v>
      </c>
      <c r="AY186" t="s">
        <v>54</v>
      </c>
      <c r="AZ186" s="576">
        <v>56002</v>
      </c>
      <c r="BA186" s="576">
        <v>8674</v>
      </c>
      <c r="BB186"/>
      <c r="BC186"/>
      <c r="BD186"/>
      <c r="BE186"/>
      <c r="BF186"/>
      <c r="BG186"/>
      <c r="BH186"/>
      <c r="BI186"/>
      <c r="BJ186"/>
      <c r="BK186"/>
      <c r="BL186"/>
      <c r="BM186"/>
      <c r="BN186"/>
      <c r="BO186"/>
      <c r="BP186"/>
      <c r="BQ186"/>
      <c r="BR186"/>
      <c r="BS186"/>
      <c r="BT186"/>
      <c r="BU186"/>
      <c r="BV186"/>
      <c r="BW186"/>
      <c r="BX186"/>
      <c r="BY186"/>
      <c r="BZ186"/>
      <c r="CA186"/>
      <c r="CB186"/>
      <c r="CC186"/>
      <c r="CD186"/>
      <c r="CE186"/>
      <c r="CF186" t="s">
        <v>1870</v>
      </c>
      <c r="CG186" t="s">
        <v>1871</v>
      </c>
      <c r="CH186" t="s">
        <v>141</v>
      </c>
      <c r="CI186"/>
      <c r="CJ186"/>
      <c r="CK186"/>
      <c r="CL186"/>
      <c r="CM186">
        <v>1629044029</v>
      </c>
      <c r="CN186">
        <v>404</v>
      </c>
      <c r="CO186">
        <v>402</v>
      </c>
      <c r="CP186">
        <v>403</v>
      </c>
      <c r="CQ186"/>
      <c r="CR186"/>
      <c r="CS186" t="s">
        <v>788</v>
      </c>
      <c r="CT186">
        <v>12</v>
      </c>
      <c r="CU186"/>
      <c r="CV186"/>
      <c r="CW186"/>
      <c r="CX186"/>
      <c r="CY186"/>
      <c r="CZ186"/>
      <c r="DA186"/>
      <c r="DB186"/>
      <c r="DC186"/>
      <c r="DD186"/>
      <c r="DE186"/>
      <c r="DF186">
        <v>131</v>
      </c>
      <c r="DG186" t="s">
        <v>1877</v>
      </c>
      <c r="DH186"/>
      <c r="DI186"/>
      <c r="DJ186"/>
      <c r="DK186"/>
      <c r="DL186"/>
      <c r="DM186"/>
      <c r="DN186"/>
      <c r="DO186"/>
      <c r="DP186"/>
      <c r="DQ186"/>
      <c r="DR186"/>
      <c r="DS186"/>
      <c r="DT186"/>
      <c r="DU186"/>
      <c r="DV186"/>
      <c r="DW186"/>
      <c r="DX186"/>
      <c r="DY186"/>
      <c r="DZ186"/>
      <c r="EA186"/>
      <c r="EB186"/>
      <c r="EC186"/>
      <c r="ED186"/>
      <c r="EE186"/>
      <c r="EF186"/>
      <c r="EG186"/>
      <c r="EH186"/>
      <c r="EI186"/>
      <c r="EJ186"/>
      <c r="EK186"/>
      <c r="EL186"/>
      <c r="EM186"/>
      <c r="EN186"/>
      <c r="EO186"/>
      <c r="EP186"/>
      <c r="EQ186"/>
      <c r="ER186">
        <v>70</v>
      </c>
      <c r="ES186"/>
      <c r="ET186"/>
      <c r="EU186"/>
      <c r="EV186" s="439">
        <v>579</v>
      </c>
      <c r="EW186" t="s">
        <v>2864</v>
      </c>
      <c r="EX186" t="s">
        <v>1020</v>
      </c>
      <c r="EY186" t="s">
        <v>2865</v>
      </c>
      <c r="EZ186" t="s">
        <v>54</v>
      </c>
      <c r="FA186">
        <v>55811</v>
      </c>
      <c r="FB186"/>
    </row>
    <row r="187" spans="1:158" x14ac:dyDescent="0.2">
      <c r="A187" s="439">
        <v>782</v>
      </c>
      <c r="B187" t="s">
        <v>1878</v>
      </c>
      <c r="C187" t="s">
        <v>1328</v>
      </c>
      <c r="D187" t="s">
        <v>1879</v>
      </c>
      <c r="E187"/>
      <c r="F187" t="s">
        <v>1330</v>
      </c>
      <c r="G187" t="s">
        <v>54</v>
      </c>
      <c r="H187" s="576">
        <v>55905</v>
      </c>
      <c r="I187"/>
      <c r="J187" t="s">
        <v>1880</v>
      </c>
      <c r="K187"/>
      <c r="L187" t="s">
        <v>1328</v>
      </c>
      <c r="M187" t="s">
        <v>1330</v>
      </c>
      <c r="N187" t="s">
        <v>54</v>
      </c>
      <c r="O187" s="576">
        <v>55901</v>
      </c>
      <c r="P187" s="576">
        <v>3004</v>
      </c>
      <c r="Q187"/>
      <c r="R187"/>
      <c r="S187" t="s">
        <v>1881</v>
      </c>
      <c r="T187" t="s">
        <v>1882</v>
      </c>
      <c r="U187" t="s">
        <v>1883</v>
      </c>
      <c r="V187" t="s">
        <v>1884</v>
      </c>
      <c r="W187" t="s">
        <v>1885</v>
      </c>
      <c r="X187" t="s">
        <v>1886</v>
      </c>
      <c r="Y187" t="s">
        <v>1887</v>
      </c>
      <c r="Z187" t="s">
        <v>1431</v>
      </c>
      <c r="AA187" t="s">
        <v>1888</v>
      </c>
      <c r="AB187">
        <v>5072845716</v>
      </c>
      <c r="AC187"/>
      <c r="AD187"/>
      <c r="AE187" t="s">
        <v>1889</v>
      </c>
      <c r="AF187" t="s">
        <v>1880</v>
      </c>
      <c r="AG187"/>
      <c r="AH187" t="s">
        <v>1328</v>
      </c>
      <c r="AI187" t="s">
        <v>1330</v>
      </c>
      <c r="AJ187" t="s">
        <v>54</v>
      </c>
      <c r="AK187" s="576">
        <v>55905</v>
      </c>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t="s">
        <v>1890</v>
      </c>
      <c r="BR187" t="s">
        <v>1891</v>
      </c>
      <c r="BS187" t="s">
        <v>1892</v>
      </c>
      <c r="BT187" t="s">
        <v>1888</v>
      </c>
      <c r="BU187">
        <v>5072847494</v>
      </c>
      <c r="BV187"/>
      <c r="BW187"/>
      <c r="BX187" t="s">
        <v>1893</v>
      </c>
      <c r="BY187" t="s">
        <v>1880</v>
      </c>
      <c r="BZ187"/>
      <c r="CA187" t="s">
        <v>1328</v>
      </c>
      <c r="CB187" t="s">
        <v>1330</v>
      </c>
      <c r="CC187" t="s">
        <v>54</v>
      </c>
      <c r="CD187" s="576">
        <v>55905</v>
      </c>
      <c r="CE187"/>
      <c r="CF187" t="s">
        <v>1894</v>
      </c>
      <c r="CG187" t="s">
        <v>1895</v>
      </c>
      <c r="CH187" t="s">
        <v>141</v>
      </c>
      <c r="CI187"/>
      <c r="CJ187"/>
      <c r="CK187"/>
      <c r="CL187"/>
      <c r="CM187">
        <v>1922074434</v>
      </c>
      <c r="CN187">
        <v>234</v>
      </c>
      <c r="CO187">
        <v>235</v>
      </c>
      <c r="CP187"/>
      <c r="CQ187"/>
      <c r="CR187">
        <v>1014</v>
      </c>
      <c r="CS187" t="s">
        <v>788</v>
      </c>
      <c r="CT187">
        <v>12</v>
      </c>
      <c r="CU187"/>
      <c r="CV187"/>
      <c r="CW187"/>
      <c r="CX187"/>
      <c r="CY187"/>
      <c r="CZ187"/>
      <c r="DA187"/>
      <c r="DB187"/>
      <c r="DC187"/>
      <c r="DD187">
        <v>128</v>
      </c>
      <c r="DE187" t="s">
        <v>1896</v>
      </c>
      <c r="DF187"/>
      <c r="DG187"/>
      <c r="DH187">
        <v>129</v>
      </c>
      <c r="DI187" t="s">
        <v>1897</v>
      </c>
      <c r="DJ187">
        <v>130</v>
      </c>
      <c r="DK187" t="s">
        <v>1898</v>
      </c>
      <c r="DL187"/>
      <c r="DM187"/>
      <c r="DN187"/>
      <c r="DO187"/>
      <c r="DP187"/>
      <c r="DQ187"/>
      <c r="DR187"/>
      <c r="DS187"/>
      <c r="DT187">
        <v>141</v>
      </c>
      <c r="DU187" t="s">
        <v>1899</v>
      </c>
      <c r="DV187"/>
      <c r="DW187"/>
      <c r="DX187">
        <v>135</v>
      </c>
      <c r="DY187" t="s">
        <v>1899</v>
      </c>
      <c r="DZ187"/>
      <c r="EA187"/>
      <c r="EB187"/>
      <c r="EC187"/>
      <c r="ED187"/>
      <c r="EE187"/>
      <c r="EF187"/>
      <c r="EG187"/>
      <c r="EH187"/>
      <c r="EI187"/>
      <c r="EJ187"/>
      <c r="EK187"/>
      <c r="EL187"/>
      <c r="EM187"/>
      <c r="EN187"/>
      <c r="EO187"/>
      <c r="EP187"/>
      <c r="EQ187"/>
      <c r="ER187">
        <v>19</v>
      </c>
      <c r="ES187"/>
      <c r="ET187"/>
      <c r="EU187"/>
      <c r="EV187" s="439">
        <v>1340</v>
      </c>
      <c r="EW187" t="s">
        <v>1547</v>
      </c>
      <c r="EX187" t="s">
        <v>1020</v>
      </c>
      <c r="EY187" t="s">
        <v>1548</v>
      </c>
      <c r="EZ187" t="s">
        <v>54</v>
      </c>
      <c r="FA187">
        <v>55805</v>
      </c>
      <c r="FB187"/>
    </row>
    <row r="188" spans="1:158" x14ac:dyDescent="0.2">
      <c r="A188" s="439">
        <v>783</v>
      </c>
      <c r="B188" t="s">
        <v>1900</v>
      </c>
      <c r="C188" t="s">
        <v>1328</v>
      </c>
      <c r="D188" t="s">
        <v>1901</v>
      </c>
      <c r="E188"/>
      <c r="F188" t="s">
        <v>1330</v>
      </c>
      <c r="G188" t="s">
        <v>54</v>
      </c>
      <c r="H188" s="576">
        <v>55905</v>
      </c>
      <c r="I188"/>
      <c r="J188" t="s">
        <v>1880</v>
      </c>
      <c r="K188"/>
      <c r="L188" t="s">
        <v>1328</v>
      </c>
      <c r="M188" t="s">
        <v>1330</v>
      </c>
      <c r="N188" t="s">
        <v>54</v>
      </c>
      <c r="O188" s="576">
        <v>55901</v>
      </c>
      <c r="P188" s="576">
        <v>3004</v>
      </c>
      <c r="Q188"/>
      <c r="R188"/>
      <c r="S188" t="s">
        <v>1881</v>
      </c>
      <c r="T188" t="s">
        <v>1882</v>
      </c>
      <c r="U188" t="s">
        <v>1883</v>
      </c>
      <c r="V188" t="s">
        <v>1884</v>
      </c>
      <c r="W188" t="s">
        <v>1885</v>
      </c>
      <c r="X188" t="s">
        <v>1886</v>
      </c>
      <c r="Y188" t="s">
        <v>1887</v>
      </c>
      <c r="Z188" t="s">
        <v>1431</v>
      </c>
      <c r="AA188" t="s">
        <v>1888</v>
      </c>
      <c r="AB188">
        <v>5072845716</v>
      </c>
      <c r="AC188"/>
      <c r="AD188"/>
      <c r="AE188" t="s">
        <v>1889</v>
      </c>
      <c r="AF188" t="s">
        <v>1880</v>
      </c>
      <c r="AG188"/>
      <c r="AH188" t="s">
        <v>1328</v>
      </c>
      <c r="AI188" t="s">
        <v>1330</v>
      </c>
      <c r="AJ188" t="s">
        <v>54</v>
      </c>
      <c r="AK188" s="576">
        <v>55905</v>
      </c>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t="s">
        <v>1890</v>
      </c>
      <c r="BR188" t="s">
        <v>1891</v>
      </c>
      <c r="BS188" t="s">
        <v>1892</v>
      </c>
      <c r="BT188" t="s">
        <v>1888</v>
      </c>
      <c r="BU188">
        <v>5072847494</v>
      </c>
      <c r="BV188"/>
      <c r="BW188"/>
      <c r="BX188" t="s">
        <v>1893</v>
      </c>
      <c r="BY188" t="s">
        <v>1880</v>
      </c>
      <c r="BZ188"/>
      <c r="CA188" t="s">
        <v>1328</v>
      </c>
      <c r="CB188" t="s">
        <v>1330</v>
      </c>
      <c r="CC188" t="s">
        <v>54</v>
      </c>
      <c r="CD188" s="576">
        <v>55905</v>
      </c>
      <c r="CE188"/>
      <c r="CF188" t="s">
        <v>1894</v>
      </c>
      <c r="CG188" t="s">
        <v>1895</v>
      </c>
      <c r="CH188" t="s">
        <v>141</v>
      </c>
      <c r="CI188"/>
      <c r="CJ188"/>
      <c r="CK188"/>
      <c r="CL188"/>
      <c r="CM188">
        <v>1922074434</v>
      </c>
      <c r="CN188">
        <v>234</v>
      </c>
      <c r="CO188">
        <v>235</v>
      </c>
      <c r="CP188"/>
      <c r="CQ188"/>
      <c r="CR188">
        <v>1014</v>
      </c>
      <c r="CS188" t="s">
        <v>788</v>
      </c>
      <c r="CT188">
        <v>12</v>
      </c>
      <c r="CU188"/>
      <c r="CV188"/>
      <c r="CW188"/>
      <c r="CX188"/>
      <c r="CY188"/>
      <c r="CZ188"/>
      <c r="DA188"/>
      <c r="DB188"/>
      <c r="DC188"/>
      <c r="DD188">
        <v>128</v>
      </c>
      <c r="DE188" t="s">
        <v>1902</v>
      </c>
      <c r="DF188"/>
      <c r="DG188"/>
      <c r="DH188">
        <v>129</v>
      </c>
      <c r="DI188" t="s">
        <v>1903</v>
      </c>
      <c r="DJ188"/>
      <c r="DK188"/>
      <c r="DL188"/>
      <c r="DM188"/>
      <c r="DN188"/>
      <c r="DO188"/>
      <c r="DP188"/>
      <c r="DQ188"/>
      <c r="DR188"/>
      <c r="DS188"/>
      <c r="DT188"/>
      <c r="DU188"/>
      <c r="DV188"/>
      <c r="DW188"/>
      <c r="DX188"/>
      <c r="DY188"/>
      <c r="DZ188"/>
      <c r="EA188"/>
      <c r="EB188"/>
      <c r="EC188"/>
      <c r="ED188"/>
      <c r="EE188"/>
      <c r="EF188"/>
      <c r="EG188"/>
      <c r="EH188"/>
      <c r="EI188"/>
      <c r="EJ188"/>
      <c r="EK188"/>
      <c r="EL188"/>
      <c r="EM188"/>
      <c r="EN188"/>
      <c r="EO188"/>
      <c r="EP188"/>
      <c r="EQ188"/>
      <c r="ER188">
        <v>19</v>
      </c>
      <c r="ES188"/>
      <c r="ET188"/>
      <c r="EU188"/>
      <c r="EV188" s="439">
        <v>401</v>
      </c>
      <c r="EW188" t="s">
        <v>2866</v>
      </c>
      <c r="EX188" t="s">
        <v>1020</v>
      </c>
      <c r="EY188" t="s">
        <v>2867</v>
      </c>
      <c r="EZ188" t="s">
        <v>54</v>
      </c>
      <c r="FA188">
        <v>55812</v>
      </c>
      <c r="FB188">
        <v>1730603622</v>
      </c>
    </row>
    <row r="189" spans="1:158" x14ac:dyDescent="0.2">
      <c r="A189" s="439">
        <v>1174</v>
      </c>
      <c r="B189" t="s">
        <v>1904</v>
      </c>
      <c r="C189" t="s">
        <v>1328</v>
      </c>
      <c r="D189" t="s">
        <v>1905</v>
      </c>
      <c r="E189"/>
      <c r="F189" t="s">
        <v>1330</v>
      </c>
      <c r="G189" t="s">
        <v>54</v>
      </c>
      <c r="H189" s="576">
        <v>55901</v>
      </c>
      <c r="I189"/>
      <c r="J189" t="s">
        <v>1880</v>
      </c>
      <c r="K189"/>
      <c r="L189" t="s">
        <v>1328</v>
      </c>
      <c r="M189" t="s">
        <v>1330</v>
      </c>
      <c r="N189" t="s">
        <v>54</v>
      </c>
      <c r="O189" s="576">
        <v>55901</v>
      </c>
      <c r="P189" s="576">
        <v>3004</v>
      </c>
      <c r="Q189"/>
      <c r="R189"/>
      <c r="S189" t="s">
        <v>1881</v>
      </c>
      <c r="T189" t="s">
        <v>1882</v>
      </c>
      <c r="U189" t="s">
        <v>1883</v>
      </c>
      <c r="V189" t="s">
        <v>1884</v>
      </c>
      <c r="W189" t="s">
        <v>1885</v>
      </c>
      <c r="X189" t="s">
        <v>1886</v>
      </c>
      <c r="Y189" t="s">
        <v>1887</v>
      </c>
      <c r="Z189" t="s">
        <v>1431</v>
      </c>
      <c r="AA189" t="s">
        <v>1888</v>
      </c>
      <c r="AB189">
        <v>5072845716</v>
      </c>
      <c r="AC189"/>
      <c r="AD189"/>
      <c r="AE189" t="s">
        <v>1889</v>
      </c>
      <c r="AF189" t="s">
        <v>1880</v>
      </c>
      <c r="AG189"/>
      <c r="AH189" t="s">
        <v>1328</v>
      </c>
      <c r="AI189" t="s">
        <v>1330</v>
      </c>
      <c r="AJ189" t="s">
        <v>54</v>
      </c>
      <c r="AK189" s="576">
        <v>55905</v>
      </c>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t="s">
        <v>1890</v>
      </c>
      <c r="BR189" t="s">
        <v>1891</v>
      </c>
      <c r="BS189" t="s">
        <v>1892</v>
      </c>
      <c r="BT189" t="s">
        <v>1888</v>
      </c>
      <c r="BU189">
        <v>5072847494</v>
      </c>
      <c r="BV189"/>
      <c r="BW189"/>
      <c r="BX189" t="s">
        <v>1893</v>
      </c>
      <c r="BY189" t="s">
        <v>1880</v>
      </c>
      <c r="BZ189"/>
      <c r="CA189" t="s">
        <v>1328</v>
      </c>
      <c r="CB189" t="s">
        <v>1330</v>
      </c>
      <c r="CC189" t="s">
        <v>54</v>
      </c>
      <c r="CD189" s="576">
        <v>55905</v>
      </c>
      <c r="CE189"/>
      <c r="CF189" t="s">
        <v>1894</v>
      </c>
      <c r="CG189" t="s">
        <v>1895</v>
      </c>
      <c r="CH189" t="s">
        <v>141</v>
      </c>
      <c r="CI189"/>
      <c r="CJ189"/>
      <c r="CK189"/>
      <c r="CL189"/>
      <c r="CM189">
        <v>1922074434</v>
      </c>
      <c r="CN189">
        <v>234</v>
      </c>
      <c r="CO189">
        <v>235</v>
      </c>
      <c r="CP189"/>
      <c r="CQ189"/>
      <c r="CR189">
        <v>1014</v>
      </c>
      <c r="CS189" t="s">
        <v>788</v>
      </c>
      <c r="CT189">
        <v>12</v>
      </c>
      <c r="CU189"/>
      <c r="CV189"/>
      <c r="CW189"/>
      <c r="CX189"/>
      <c r="CY189"/>
      <c r="CZ189"/>
      <c r="DA189"/>
      <c r="DB189"/>
      <c r="DC189"/>
      <c r="DD189">
        <v>128</v>
      </c>
      <c r="DE189" t="s">
        <v>1896</v>
      </c>
      <c r="DF189"/>
      <c r="DG189"/>
      <c r="DH189"/>
      <c r="DI189"/>
      <c r="DJ189"/>
      <c r="DK189"/>
      <c r="DL189"/>
      <c r="DM189"/>
      <c r="DN189"/>
      <c r="DO189"/>
      <c r="DP189"/>
      <c r="DQ189"/>
      <c r="DR189"/>
      <c r="DS189"/>
      <c r="DT189"/>
      <c r="DU189"/>
      <c r="DV189"/>
      <c r="DW189"/>
      <c r="DX189"/>
      <c r="DY189"/>
      <c r="DZ189"/>
      <c r="EA189"/>
      <c r="EB189"/>
      <c r="EC189"/>
      <c r="ED189"/>
      <c r="EE189"/>
      <c r="EF189"/>
      <c r="EG189"/>
      <c r="EH189"/>
      <c r="EI189"/>
      <c r="EJ189"/>
      <c r="EK189"/>
      <c r="EL189"/>
      <c r="EM189"/>
      <c r="EN189"/>
      <c r="EO189"/>
      <c r="EP189"/>
      <c r="EQ189"/>
      <c r="ER189">
        <v>19</v>
      </c>
      <c r="ES189"/>
      <c r="ET189"/>
      <c r="EU189"/>
      <c r="EV189" s="439">
        <v>90</v>
      </c>
      <c r="EW189" t="s">
        <v>2868</v>
      </c>
      <c r="EX189" t="s">
        <v>1020</v>
      </c>
      <c r="EY189" t="s">
        <v>2869</v>
      </c>
      <c r="EZ189" t="s">
        <v>54</v>
      </c>
      <c r="FA189">
        <v>55805</v>
      </c>
      <c r="FB189">
        <v>1033153895</v>
      </c>
    </row>
    <row r="190" spans="1:158" x14ac:dyDescent="0.2">
      <c r="A190" s="439">
        <v>794</v>
      </c>
      <c r="B190" t="s">
        <v>1906</v>
      </c>
      <c r="C190" t="s">
        <v>1328</v>
      </c>
      <c r="D190" t="s">
        <v>1880</v>
      </c>
      <c r="E190"/>
      <c r="F190" t="s">
        <v>1330</v>
      </c>
      <c r="G190" t="s">
        <v>54</v>
      </c>
      <c r="H190" s="576">
        <v>55095</v>
      </c>
      <c r="I190"/>
      <c r="J190" t="s">
        <v>1880</v>
      </c>
      <c r="K190"/>
      <c r="L190" t="s">
        <v>1328</v>
      </c>
      <c r="M190" t="s">
        <v>1330</v>
      </c>
      <c r="N190" t="s">
        <v>54</v>
      </c>
      <c r="O190" s="576">
        <v>55901</v>
      </c>
      <c r="P190" s="576">
        <v>3004</v>
      </c>
      <c r="Q190"/>
      <c r="R190"/>
      <c r="S190" t="s">
        <v>1881</v>
      </c>
      <c r="T190" t="s">
        <v>1882</v>
      </c>
      <c r="U190" t="s">
        <v>1883</v>
      </c>
      <c r="V190" t="s">
        <v>1884</v>
      </c>
      <c r="W190" t="s">
        <v>1885</v>
      </c>
      <c r="X190" t="s">
        <v>1886</v>
      </c>
      <c r="Y190" t="s">
        <v>1887</v>
      </c>
      <c r="Z190" t="s">
        <v>1431</v>
      </c>
      <c r="AA190" t="s">
        <v>1888</v>
      </c>
      <c r="AB190">
        <v>5072845716</v>
      </c>
      <c r="AC190"/>
      <c r="AD190"/>
      <c r="AE190" t="s">
        <v>1889</v>
      </c>
      <c r="AF190" t="s">
        <v>1880</v>
      </c>
      <c r="AG190"/>
      <c r="AH190" t="s">
        <v>1328</v>
      </c>
      <c r="AI190" t="s">
        <v>1330</v>
      </c>
      <c r="AJ190" t="s">
        <v>54</v>
      </c>
      <c r="AK190" s="576">
        <v>55905</v>
      </c>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t="s">
        <v>1890</v>
      </c>
      <c r="BR190" t="s">
        <v>1891</v>
      </c>
      <c r="BS190" t="s">
        <v>1892</v>
      </c>
      <c r="BT190" t="s">
        <v>1888</v>
      </c>
      <c r="BU190">
        <v>5072847494</v>
      </c>
      <c r="BV190"/>
      <c r="BW190"/>
      <c r="BX190" t="s">
        <v>1893</v>
      </c>
      <c r="BY190" t="s">
        <v>1880</v>
      </c>
      <c r="BZ190"/>
      <c r="CA190" t="s">
        <v>1328</v>
      </c>
      <c r="CB190" t="s">
        <v>1330</v>
      </c>
      <c r="CC190" t="s">
        <v>54</v>
      </c>
      <c r="CD190" s="576">
        <v>55905</v>
      </c>
      <c r="CE190"/>
      <c r="CF190" t="s">
        <v>1894</v>
      </c>
      <c r="CG190" t="s">
        <v>1895</v>
      </c>
      <c r="CH190" t="s">
        <v>141</v>
      </c>
      <c r="CI190"/>
      <c r="CJ190"/>
      <c r="CK190"/>
      <c r="CL190"/>
      <c r="CM190">
        <v>1922074434</v>
      </c>
      <c r="CN190">
        <v>234</v>
      </c>
      <c r="CO190">
        <v>235</v>
      </c>
      <c r="CP190"/>
      <c r="CQ190"/>
      <c r="CR190">
        <v>1014</v>
      </c>
      <c r="CS190" t="s">
        <v>788</v>
      </c>
      <c r="CT190">
        <v>12</v>
      </c>
      <c r="CU190"/>
      <c r="CV190"/>
      <c r="CW190"/>
      <c r="CX190"/>
      <c r="CY190"/>
      <c r="CZ190"/>
      <c r="DA190"/>
      <c r="DB190"/>
      <c r="DC190"/>
      <c r="DD190"/>
      <c r="DE190"/>
      <c r="DF190"/>
      <c r="DG190"/>
      <c r="DH190">
        <v>129</v>
      </c>
      <c r="DI190" t="s">
        <v>1903</v>
      </c>
      <c r="DJ190"/>
      <c r="DK190"/>
      <c r="DL190"/>
      <c r="DM190"/>
      <c r="DN190"/>
      <c r="DO190"/>
      <c r="DP190"/>
      <c r="DQ190"/>
      <c r="DR190"/>
      <c r="DS190"/>
      <c r="DT190"/>
      <c r="DU190"/>
      <c r="DV190"/>
      <c r="DW190"/>
      <c r="DX190"/>
      <c r="DY190"/>
      <c r="DZ190"/>
      <c r="EA190"/>
      <c r="EB190"/>
      <c r="EC190"/>
      <c r="ED190"/>
      <c r="EE190"/>
      <c r="EF190"/>
      <c r="EG190"/>
      <c r="EH190"/>
      <c r="EI190"/>
      <c r="EJ190"/>
      <c r="EK190"/>
      <c r="EL190"/>
      <c r="EM190"/>
      <c r="EN190"/>
      <c r="EO190"/>
      <c r="EP190"/>
      <c r="EQ190"/>
      <c r="ER190">
        <v>19</v>
      </c>
      <c r="ES190"/>
      <c r="ET190"/>
      <c r="EU190"/>
      <c r="EV190" s="439">
        <v>148</v>
      </c>
      <c r="EW190" t="s">
        <v>2870</v>
      </c>
      <c r="EX190" t="s">
        <v>1020</v>
      </c>
      <c r="EY190" t="s">
        <v>2871</v>
      </c>
      <c r="EZ190" t="s">
        <v>54</v>
      </c>
      <c r="FA190">
        <v>55805</v>
      </c>
      <c r="FB190">
        <v>1457393035</v>
      </c>
    </row>
    <row r="191" spans="1:158" x14ac:dyDescent="0.2">
      <c r="A191" s="439">
        <v>1155</v>
      </c>
      <c r="B191" t="s">
        <v>1907</v>
      </c>
      <c r="C191" t="s">
        <v>901</v>
      </c>
      <c r="D191" t="s">
        <v>1908</v>
      </c>
      <c r="E191" t="s">
        <v>1692</v>
      </c>
      <c r="F191" t="s">
        <v>744</v>
      </c>
      <c r="G191" t="s">
        <v>54</v>
      </c>
      <c r="H191" s="576">
        <v>55402</v>
      </c>
      <c r="I191"/>
      <c r="J191" t="s">
        <v>1880</v>
      </c>
      <c r="K191"/>
      <c r="L191" t="s">
        <v>1328</v>
      </c>
      <c r="M191" t="s">
        <v>1330</v>
      </c>
      <c r="N191" t="s">
        <v>54</v>
      </c>
      <c r="O191" s="576">
        <v>55901</v>
      </c>
      <c r="P191" s="576">
        <v>3004</v>
      </c>
      <c r="Q191"/>
      <c r="R191"/>
      <c r="S191" t="s">
        <v>1881</v>
      </c>
      <c r="T191" t="s">
        <v>1882</v>
      </c>
      <c r="U191" t="s">
        <v>1883</v>
      </c>
      <c r="V191" t="s">
        <v>1884</v>
      </c>
      <c r="W191" t="s">
        <v>1885</v>
      </c>
      <c r="X191" t="s">
        <v>1886</v>
      </c>
      <c r="Y191" t="s">
        <v>1887</v>
      </c>
      <c r="Z191" t="s">
        <v>1431</v>
      </c>
      <c r="AA191" t="s">
        <v>1888</v>
      </c>
      <c r="AB191">
        <v>5072845716</v>
      </c>
      <c r="AC191"/>
      <c r="AD191"/>
      <c r="AE191" t="s">
        <v>1889</v>
      </c>
      <c r="AF191" t="s">
        <v>1880</v>
      </c>
      <c r="AG191"/>
      <c r="AH191" t="s">
        <v>1328</v>
      </c>
      <c r="AI191" t="s">
        <v>1330</v>
      </c>
      <c r="AJ191" t="s">
        <v>54</v>
      </c>
      <c r="AK191" s="576">
        <v>55905</v>
      </c>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c r="BR191"/>
      <c r="BS191"/>
      <c r="BT191"/>
      <c r="BU191"/>
      <c r="BV191"/>
      <c r="BW191"/>
      <c r="BX191"/>
      <c r="BY191"/>
      <c r="BZ191"/>
      <c r="CA191"/>
      <c r="CB191"/>
      <c r="CC191"/>
      <c r="CD191"/>
      <c r="CE191"/>
      <c r="CF191" t="s">
        <v>1894</v>
      </c>
      <c r="CG191" t="s">
        <v>1895</v>
      </c>
      <c r="CH191" t="s">
        <v>141</v>
      </c>
      <c r="CI191"/>
      <c r="CJ191"/>
      <c r="CK191"/>
      <c r="CL191"/>
      <c r="CM191">
        <v>1922074434</v>
      </c>
      <c r="CN191">
        <v>234</v>
      </c>
      <c r="CO191">
        <v>235</v>
      </c>
      <c r="CP191"/>
      <c r="CQ191"/>
      <c r="CR191"/>
      <c r="CS191" t="s">
        <v>788</v>
      </c>
      <c r="CT191">
        <v>12</v>
      </c>
      <c r="CU191"/>
      <c r="CV191"/>
      <c r="CW191"/>
      <c r="CX191"/>
      <c r="CY191"/>
      <c r="CZ191"/>
      <c r="DA191"/>
      <c r="DB191"/>
      <c r="DC191"/>
      <c r="DD191">
        <v>128</v>
      </c>
      <c r="DE191" t="s">
        <v>1909</v>
      </c>
      <c r="DF191"/>
      <c r="DG191"/>
      <c r="DH191"/>
      <c r="DI191"/>
      <c r="DJ191"/>
      <c r="DK191"/>
      <c r="DL191"/>
      <c r="DM191"/>
      <c r="DN191"/>
      <c r="DO191"/>
      <c r="DP191"/>
      <c r="DQ191"/>
      <c r="DR191"/>
      <c r="DS191"/>
      <c r="DT191">
        <v>141</v>
      </c>
      <c r="DU191" t="s">
        <v>1899</v>
      </c>
      <c r="DV191"/>
      <c r="DW191"/>
      <c r="DX191"/>
      <c r="DY191"/>
      <c r="DZ191"/>
      <c r="EA191"/>
      <c r="EB191"/>
      <c r="EC191"/>
      <c r="ED191"/>
      <c r="EE191"/>
      <c r="EF191"/>
      <c r="EG191"/>
      <c r="EH191"/>
      <c r="EI191"/>
      <c r="EJ191"/>
      <c r="EK191"/>
      <c r="EL191"/>
      <c r="EM191"/>
      <c r="EN191"/>
      <c r="EO191"/>
      <c r="EP191"/>
      <c r="EQ191"/>
      <c r="ER191">
        <v>19</v>
      </c>
      <c r="ES191"/>
      <c r="ET191"/>
      <c r="EU191"/>
      <c r="EV191" s="439">
        <v>418</v>
      </c>
      <c r="EW191" t="s">
        <v>2872</v>
      </c>
      <c r="EX191" t="s">
        <v>1020</v>
      </c>
      <c r="EY191" t="s">
        <v>2873</v>
      </c>
      <c r="EZ191" t="s">
        <v>54</v>
      </c>
      <c r="FA191">
        <v>55811</v>
      </c>
      <c r="FB191"/>
    </row>
    <row r="192" spans="1:158" s="435" customFormat="1" x14ac:dyDescent="0.2">
      <c r="A192" s="439">
        <v>746</v>
      </c>
      <c r="B192" t="s">
        <v>1910</v>
      </c>
      <c r="C192" t="s">
        <v>1911</v>
      </c>
      <c r="D192" t="s">
        <v>1912</v>
      </c>
      <c r="E192"/>
      <c r="F192" t="s">
        <v>1913</v>
      </c>
      <c r="G192" t="s">
        <v>54</v>
      </c>
      <c r="H192" s="576">
        <v>55060</v>
      </c>
      <c r="I192"/>
      <c r="J192" t="s">
        <v>1912</v>
      </c>
      <c r="K192"/>
      <c r="L192" t="s">
        <v>1911</v>
      </c>
      <c r="M192" t="s">
        <v>1913</v>
      </c>
      <c r="N192" t="s">
        <v>54</v>
      </c>
      <c r="O192" s="576">
        <v>55060</v>
      </c>
      <c r="P192"/>
      <c r="Q192">
        <v>5074511120</v>
      </c>
      <c r="R192"/>
      <c r="S192" t="s">
        <v>1178</v>
      </c>
      <c r="T192" t="s">
        <v>1914</v>
      </c>
      <c r="U192" t="s">
        <v>1915</v>
      </c>
      <c r="V192" t="s">
        <v>1916</v>
      </c>
      <c r="W192" t="s">
        <v>1917</v>
      </c>
      <c r="X192" t="s">
        <v>1918</v>
      </c>
      <c r="Y192" t="s">
        <v>1919</v>
      </c>
      <c r="Z192" t="s">
        <v>1920</v>
      </c>
      <c r="AA192" t="s">
        <v>1910</v>
      </c>
      <c r="AB192">
        <v>5074465175</v>
      </c>
      <c r="AC192"/>
      <c r="AD192">
        <v>5074465198</v>
      </c>
      <c r="AE192" t="s">
        <v>1921</v>
      </c>
      <c r="AF192" t="s">
        <v>1912</v>
      </c>
      <c r="AG192"/>
      <c r="AH192" t="s">
        <v>1911</v>
      </c>
      <c r="AI192" t="s">
        <v>1913</v>
      </c>
      <c r="AJ192" t="s">
        <v>54</v>
      </c>
      <c r="AK192" s="576">
        <v>55060</v>
      </c>
      <c r="AL192"/>
      <c r="AM192" t="s">
        <v>1178</v>
      </c>
      <c r="AN192" t="s">
        <v>1914</v>
      </c>
      <c r="AO192" t="s">
        <v>1915</v>
      </c>
      <c r="AP192" t="s">
        <v>1910</v>
      </c>
      <c r="AQ192">
        <v>5072639783</v>
      </c>
      <c r="AR192"/>
      <c r="AS192"/>
      <c r="AT192" t="s">
        <v>1916</v>
      </c>
      <c r="AU192" t="s">
        <v>1912</v>
      </c>
      <c r="AV192"/>
      <c r="AW192" t="s">
        <v>1911</v>
      </c>
      <c r="AX192" t="s">
        <v>1913</v>
      </c>
      <c r="AY192" t="s">
        <v>54</v>
      </c>
      <c r="AZ192" s="576">
        <v>55060</v>
      </c>
      <c r="BA192"/>
      <c r="BB192"/>
      <c r="BC192"/>
      <c r="BD192"/>
      <c r="BE192"/>
      <c r="BF192"/>
      <c r="BG192"/>
      <c r="BH192"/>
      <c r="BI192"/>
      <c r="BJ192"/>
      <c r="BK192"/>
      <c r="BL192"/>
      <c r="BM192"/>
      <c r="BN192"/>
      <c r="BO192"/>
      <c r="BP192"/>
      <c r="BQ192"/>
      <c r="BR192"/>
      <c r="BS192"/>
      <c r="BT192"/>
      <c r="BU192"/>
      <c r="BV192"/>
      <c r="BW192"/>
      <c r="BX192"/>
      <c r="BY192"/>
      <c r="BZ192"/>
      <c r="CA192"/>
      <c r="CB192"/>
      <c r="CC192"/>
      <c r="CD192"/>
      <c r="CE192"/>
      <c r="CF192" t="s">
        <v>1922</v>
      </c>
      <c r="CG192" t="s">
        <v>1895</v>
      </c>
      <c r="CH192" t="s">
        <v>141</v>
      </c>
      <c r="CI192"/>
      <c r="CJ192"/>
      <c r="CK192"/>
      <c r="CL192"/>
      <c r="CM192">
        <v>1568415875</v>
      </c>
      <c r="CN192">
        <v>352</v>
      </c>
      <c r="CO192">
        <v>265</v>
      </c>
      <c r="CP192">
        <v>266</v>
      </c>
      <c r="CQ192"/>
      <c r="CR192"/>
      <c r="CS192" t="s">
        <v>788</v>
      </c>
      <c r="CT192">
        <v>12</v>
      </c>
      <c r="CU192">
        <v>179</v>
      </c>
      <c r="CV192"/>
      <c r="CW192"/>
      <c r="CX192"/>
      <c r="CY192"/>
      <c r="CZ192"/>
      <c r="DA192"/>
      <c r="DB192"/>
      <c r="DC192"/>
      <c r="DD192">
        <v>128</v>
      </c>
      <c r="DE192" t="s">
        <v>1923</v>
      </c>
      <c r="DF192">
        <v>131</v>
      </c>
      <c r="DG192" t="s">
        <v>1924</v>
      </c>
      <c r="DH192"/>
      <c r="DI192"/>
      <c r="DJ192">
        <v>130</v>
      </c>
      <c r="DK192" t="s">
        <v>1925</v>
      </c>
      <c r="DL192"/>
      <c r="DM192"/>
      <c r="DN192"/>
      <c r="DO192"/>
      <c r="DP192"/>
      <c r="DQ192"/>
      <c r="DR192"/>
      <c r="DS192"/>
      <c r="DT192"/>
      <c r="DU192"/>
      <c r="DV192"/>
      <c r="DW192"/>
      <c r="DX192"/>
      <c r="DY192"/>
      <c r="DZ192"/>
      <c r="EA192"/>
      <c r="EB192"/>
      <c r="EC192"/>
      <c r="ED192"/>
      <c r="EE192"/>
      <c r="EF192"/>
      <c r="EG192"/>
      <c r="EH192"/>
      <c r="EI192"/>
      <c r="EJ192"/>
      <c r="EK192"/>
      <c r="EL192"/>
      <c r="EM192"/>
      <c r="EN192"/>
      <c r="EO192"/>
      <c r="EP192"/>
      <c r="EQ192"/>
      <c r="ER192">
        <v>19</v>
      </c>
      <c r="ES192"/>
      <c r="ET192"/>
      <c r="EU192"/>
      <c r="EV192" s="439">
        <v>318</v>
      </c>
      <c r="EW192" t="s">
        <v>2874</v>
      </c>
      <c r="EX192" t="s">
        <v>1020</v>
      </c>
      <c r="EY192" t="s">
        <v>2875</v>
      </c>
      <c r="EZ192" t="s">
        <v>54</v>
      </c>
      <c r="FA192">
        <v>55805</v>
      </c>
      <c r="FB192">
        <v>1891730644</v>
      </c>
    </row>
    <row r="193" spans="1:158" x14ac:dyDescent="0.2">
      <c r="A193" s="439">
        <v>1453</v>
      </c>
      <c r="B193" t="s">
        <v>1926</v>
      </c>
      <c r="C193" t="s">
        <v>1856</v>
      </c>
      <c r="D193" t="s">
        <v>1927</v>
      </c>
      <c r="E193" t="s">
        <v>1928</v>
      </c>
      <c r="F193" t="s">
        <v>1382</v>
      </c>
      <c r="G193" t="s">
        <v>54</v>
      </c>
      <c r="H193" s="576">
        <v>56001</v>
      </c>
      <c r="I193" t="s">
        <v>749</v>
      </c>
      <c r="J193" t="s">
        <v>1927</v>
      </c>
      <c r="K193" t="s">
        <v>1928</v>
      </c>
      <c r="L193" t="s">
        <v>1856</v>
      </c>
      <c r="M193" t="s">
        <v>1382</v>
      </c>
      <c r="N193" t="s">
        <v>54</v>
      </c>
      <c r="O193" s="576">
        <v>56001</v>
      </c>
      <c r="P193" t="s">
        <v>749</v>
      </c>
      <c r="Q193"/>
      <c r="R193"/>
      <c r="S193" t="s">
        <v>1929</v>
      </c>
      <c r="T193" t="s">
        <v>1930</v>
      </c>
      <c r="U193" t="s">
        <v>1931</v>
      </c>
      <c r="V193" t="s">
        <v>1932</v>
      </c>
      <c r="W193" t="s">
        <v>1917</v>
      </c>
      <c r="X193" t="s">
        <v>902</v>
      </c>
      <c r="Y193" t="s">
        <v>1933</v>
      </c>
      <c r="Z193" t="s">
        <v>1934</v>
      </c>
      <c r="AA193" t="s">
        <v>1935</v>
      </c>
      <c r="AB193">
        <v>5075942909</v>
      </c>
      <c r="AC193"/>
      <c r="AD193"/>
      <c r="AE193" t="s">
        <v>1936</v>
      </c>
      <c r="AF193" t="s">
        <v>1937</v>
      </c>
      <c r="AG193"/>
      <c r="AH193" t="s">
        <v>1856</v>
      </c>
      <c r="AI193" t="s">
        <v>1382</v>
      </c>
      <c r="AJ193" t="s">
        <v>54</v>
      </c>
      <c r="AK193" s="576">
        <v>56001</v>
      </c>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t="s">
        <v>1894</v>
      </c>
      <c r="CG193" t="s">
        <v>1895</v>
      </c>
      <c r="CH193" t="s">
        <v>56</v>
      </c>
      <c r="CI193"/>
      <c r="CJ193"/>
      <c r="CK193"/>
      <c r="CL193"/>
      <c r="CM193"/>
      <c r="CN193">
        <v>57</v>
      </c>
      <c r="CO193">
        <v>1862</v>
      </c>
      <c r="CP193"/>
      <c r="CQ193"/>
      <c r="CR193"/>
      <c r="CS193" t="s">
        <v>788</v>
      </c>
      <c r="CT193">
        <v>12</v>
      </c>
      <c r="CU193"/>
      <c r="CV193"/>
      <c r="CW193"/>
      <c r="CX193" t="s">
        <v>749</v>
      </c>
      <c r="CY193"/>
      <c r="CZ193" t="s">
        <v>749</v>
      </c>
      <c r="DA193" t="s">
        <v>749</v>
      </c>
      <c r="DB193" t="s">
        <v>749</v>
      </c>
      <c r="DC193" t="s">
        <v>749</v>
      </c>
      <c r="DD193">
        <v>128</v>
      </c>
      <c r="DE193" t="s">
        <v>1938</v>
      </c>
      <c r="DF193">
        <v>131</v>
      </c>
      <c r="DG193" t="s">
        <v>1939</v>
      </c>
      <c r="DH193">
        <v>129</v>
      </c>
      <c r="DI193" t="s">
        <v>1940</v>
      </c>
      <c r="DJ193"/>
      <c r="DK193"/>
      <c r="DL193"/>
      <c r="DM193"/>
      <c r="DN193"/>
      <c r="DO193"/>
      <c r="DP193"/>
      <c r="DQ193"/>
      <c r="DR193"/>
      <c r="DS193"/>
      <c r="DT193">
        <v>141</v>
      </c>
      <c r="DU193"/>
      <c r="DV193">
        <v>143</v>
      </c>
      <c r="DW193"/>
      <c r="DX193"/>
      <c r="DY193"/>
      <c r="DZ193"/>
      <c r="EA193"/>
      <c r="EB193">
        <v>137</v>
      </c>
      <c r="EC193"/>
      <c r="ED193"/>
      <c r="EE193"/>
      <c r="EF193"/>
      <c r="EG193"/>
      <c r="EH193"/>
      <c r="EI193"/>
      <c r="EJ193"/>
      <c r="EK193"/>
      <c r="EL193"/>
      <c r="EM193"/>
      <c r="EN193"/>
      <c r="EO193"/>
      <c r="EP193"/>
      <c r="EQ193"/>
      <c r="ER193">
        <v>19</v>
      </c>
      <c r="ES193"/>
      <c r="ET193"/>
      <c r="EU193"/>
      <c r="EV193" s="439">
        <v>737</v>
      </c>
      <c r="EW193" t="s">
        <v>2148</v>
      </c>
      <c r="EX193" t="s">
        <v>1020</v>
      </c>
      <c r="EY193" t="s">
        <v>2149</v>
      </c>
      <c r="EZ193" t="s">
        <v>54</v>
      </c>
      <c r="FA193">
        <v>55805</v>
      </c>
      <c r="FB193">
        <v>1225033715</v>
      </c>
    </row>
    <row r="194" spans="1:158" x14ac:dyDescent="0.2">
      <c r="A194" s="439">
        <v>516</v>
      </c>
      <c r="B194" t="s">
        <v>1941</v>
      </c>
      <c r="C194" t="s">
        <v>1105</v>
      </c>
      <c r="D194" t="s">
        <v>1942</v>
      </c>
      <c r="E194" t="s">
        <v>1943</v>
      </c>
      <c r="F194" t="s">
        <v>746</v>
      </c>
      <c r="G194" t="s">
        <v>54</v>
      </c>
      <c r="H194" s="576">
        <v>55337</v>
      </c>
      <c r="I194"/>
      <c r="J194" t="s">
        <v>1942</v>
      </c>
      <c r="K194" t="s">
        <v>1943</v>
      </c>
      <c r="L194" t="s">
        <v>1105</v>
      </c>
      <c r="M194" t="s">
        <v>746</v>
      </c>
      <c r="N194" t="s">
        <v>54</v>
      </c>
      <c r="O194" s="576">
        <v>55337</v>
      </c>
      <c r="P194"/>
      <c r="Q194">
        <v>9528982333</v>
      </c>
      <c r="R194">
        <v>9528986270</v>
      </c>
      <c r="S194" t="s">
        <v>1834</v>
      </c>
      <c r="T194" t="s">
        <v>1835</v>
      </c>
      <c r="U194" t="s">
        <v>1836</v>
      </c>
      <c r="V194"/>
      <c r="W194" t="s">
        <v>1837</v>
      </c>
      <c r="X194" t="s">
        <v>1823</v>
      </c>
      <c r="Y194" t="s">
        <v>1838</v>
      </c>
      <c r="Z194"/>
      <c r="AA194" t="s">
        <v>1839</v>
      </c>
      <c r="AB194">
        <v>6512922014</v>
      </c>
      <c r="AC194"/>
      <c r="AD194">
        <v>6512922131</v>
      </c>
      <c r="AE194" t="s">
        <v>1840</v>
      </c>
      <c r="AF194" t="s">
        <v>1841</v>
      </c>
      <c r="AG194" t="s">
        <v>911</v>
      </c>
      <c r="AH194" t="s">
        <v>1133</v>
      </c>
      <c r="AI194" t="s">
        <v>912</v>
      </c>
      <c r="AJ194" t="s">
        <v>54</v>
      </c>
      <c r="AK194" s="576">
        <v>55113</v>
      </c>
      <c r="AL194" t="s">
        <v>749</v>
      </c>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c r="BR194"/>
      <c r="BS194"/>
      <c r="BT194"/>
      <c r="BU194"/>
      <c r="BV194"/>
      <c r="BW194"/>
      <c r="BX194"/>
      <c r="BY194"/>
      <c r="BZ194"/>
      <c r="CA194"/>
      <c r="CB194"/>
      <c r="CC194"/>
      <c r="CD194"/>
      <c r="CE194"/>
      <c r="CF194" t="s">
        <v>1944</v>
      </c>
      <c r="CG194" t="s">
        <v>1843</v>
      </c>
      <c r="CH194" t="s">
        <v>141</v>
      </c>
      <c r="CI194"/>
      <c r="CJ194"/>
      <c r="CK194"/>
      <c r="CL194"/>
      <c r="CM194">
        <v>1629027594</v>
      </c>
      <c r="CN194">
        <v>417</v>
      </c>
      <c r="CO194">
        <v>140</v>
      </c>
      <c r="CP194"/>
      <c r="CQ194"/>
      <c r="CR194"/>
      <c r="CS194" t="s">
        <v>788</v>
      </c>
      <c r="CT194">
        <v>12</v>
      </c>
      <c r="CU194"/>
      <c r="CV194"/>
      <c r="CW194"/>
      <c r="CX194"/>
      <c r="CY194"/>
      <c r="CZ194"/>
      <c r="DA194"/>
      <c r="DB194"/>
      <c r="DC194"/>
      <c r="DD194">
        <v>128</v>
      </c>
      <c r="DE194" t="s">
        <v>1945</v>
      </c>
      <c r="DF194"/>
      <c r="DG194"/>
      <c r="DH194">
        <v>129</v>
      </c>
      <c r="DI194" t="s">
        <v>796</v>
      </c>
      <c r="DJ194"/>
      <c r="DK194"/>
      <c r="DL194"/>
      <c r="DM194"/>
      <c r="DN194"/>
      <c r="DO194"/>
      <c r="DP194"/>
      <c r="DQ194"/>
      <c r="DR194"/>
      <c r="DS194"/>
      <c r="DT194"/>
      <c r="DU194"/>
      <c r="DV194"/>
      <c r="DW194"/>
      <c r="DX194"/>
      <c r="DY194"/>
      <c r="DZ194"/>
      <c r="EA194"/>
      <c r="EB194"/>
      <c r="EC194"/>
      <c r="ED194"/>
      <c r="EE194"/>
      <c r="EF194"/>
      <c r="EG194"/>
      <c r="EH194"/>
      <c r="EI194"/>
      <c r="EJ194"/>
      <c r="EK194"/>
      <c r="EL194"/>
      <c r="EM194"/>
      <c r="EN194"/>
      <c r="EO194"/>
      <c r="EP194"/>
      <c r="EQ194"/>
      <c r="ER194">
        <v>187</v>
      </c>
      <c r="ES194"/>
      <c r="ET194"/>
      <c r="EU194"/>
      <c r="EV194" s="439">
        <v>143</v>
      </c>
      <c r="EW194" t="s">
        <v>2474</v>
      </c>
      <c r="EX194" t="s">
        <v>1020</v>
      </c>
      <c r="EY194" t="s">
        <v>2876</v>
      </c>
      <c r="EZ194" t="s">
        <v>54</v>
      </c>
      <c r="FA194">
        <v>55805</v>
      </c>
      <c r="FB194">
        <v>1801835970</v>
      </c>
    </row>
    <row r="195" spans="1:158" x14ac:dyDescent="0.2">
      <c r="A195" s="439">
        <v>584</v>
      </c>
      <c r="B195" t="s">
        <v>1946</v>
      </c>
      <c r="C195" t="s">
        <v>1029</v>
      </c>
      <c r="D195" t="s">
        <v>1947</v>
      </c>
      <c r="E195"/>
      <c r="F195" t="s">
        <v>912</v>
      </c>
      <c r="G195" t="s">
        <v>54</v>
      </c>
      <c r="H195" s="576">
        <v>55102</v>
      </c>
      <c r="I195"/>
      <c r="J195" t="s">
        <v>1948</v>
      </c>
      <c r="K195"/>
      <c r="L195" t="s">
        <v>1029</v>
      </c>
      <c r="M195" t="s">
        <v>912</v>
      </c>
      <c r="N195" t="s">
        <v>54</v>
      </c>
      <c r="O195" s="576">
        <v>55102</v>
      </c>
      <c r="P195"/>
      <c r="Q195">
        <v>6512976504</v>
      </c>
      <c r="R195">
        <v>6512976510</v>
      </c>
      <c r="S195" t="s">
        <v>1834</v>
      </c>
      <c r="T195" t="s">
        <v>1835</v>
      </c>
      <c r="U195" t="s">
        <v>1836</v>
      </c>
      <c r="V195"/>
      <c r="W195" t="s">
        <v>1837</v>
      </c>
      <c r="X195" t="s">
        <v>1823</v>
      </c>
      <c r="Y195" t="s">
        <v>1838</v>
      </c>
      <c r="Z195"/>
      <c r="AA195" t="s">
        <v>1839</v>
      </c>
      <c r="AB195">
        <v>6512922014</v>
      </c>
      <c r="AC195"/>
      <c r="AD195">
        <v>6512922131</v>
      </c>
      <c r="AE195" t="s">
        <v>1840</v>
      </c>
      <c r="AF195" t="s">
        <v>1841</v>
      </c>
      <c r="AG195" t="s">
        <v>911</v>
      </c>
      <c r="AH195" t="s">
        <v>1133</v>
      </c>
      <c r="AI195" t="s">
        <v>912</v>
      </c>
      <c r="AJ195" t="s">
        <v>54</v>
      </c>
      <c r="AK195" s="576">
        <v>55113</v>
      </c>
      <c r="AL195" t="s">
        <v>749</v>
      </c>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c r="BR195"/>
      <c r="BS195"/>
      <c r="BT195"/>
      <c r="BU195"/>
      <c r="BV195"/>
      <c r="BW195"/>
      <c r="BX195"/>
      <c r="BY195"/>
      <c r="BZ195"/>
      <c r="CA195"/>
      <c r="CB195"/>
      <c r="CC195"/>
      <c r="CD195"/>
      <c r="CE195"/>
      <c r="CF195" t="s">
        <v>1944</v>
      </c>
      <c r="CG195" t="s">
        <v>1843</v>
      </c>
      <c r="CH195" t="s">
        <v>141</v>
      </c>
      <c r="CI195"/>
      <c r="CJ195"/>
      <c r="CK195"/>
      <c r="CL195"/>
      <c r="CM195">
        <v>1720059264</v>
      </c>
      <c r="CN195">
        <v>334</v>
      </c>
      <c r="CO195">
        <v>140</v>
      </c>
      <c r="CP195"/>
      <c r="CQ195"/>
      <c r="CR195"/>
      <c r="CS195" t="s">
        <v>788</v>
      </c>
      <c r="CT195">
        <v>12</v>
      </c>
      <c r="CU195"/>
      <c r="CV195"/>
      <c r="CW195"/>
      <c r="CX195"/>
      <c r="CY195"/>
      <c r="CZ195"/>
      <c r="DA195"/>
      <c r="DB195"/>
      <c r="DC195"/>
      <c r="DD195">
        <v>128</v>
      </c>
      <c r="DE195" t="s">
        <v>1949</v>
      </c>
      <c r="DF195">
        <v>131</v>
      </c>
      <c r="DG195" t="s">
        <v>1950</v>
      </c>
      <c r="DH195">
        <v>129</v>
      </c>
      <c r="DI195" t="s">
        <v>1951</v>
      </c>
      <c r="DJ195"/>
      <c r="DK195"/>
      <c r="DL195"/>
      <c r="DM195"/>
      <c r="DN195"/>
      <c r="DO195"/>
      <c r="DP195"/>
      <c r="DQ195"/>
      <c r="DR195"/>
      <c r="DS195"/>
      <c r="DT195"/>
      <c r="DU195"/>
      <c r="DV195"/>
      <c r="DW195"/>
      <c r="DX195"/>
      <c r="DY195"/>
      <c r="DZ195"/>
      <c r="EA195"/>
      <c r="EB195"/>
      <c r="EC195"/>
      <c r="ED195"/>
      <c r="EE195"/>
      <c r="EF195"/>
      <c r="EG195"/>
      <c r="EH195"/>
      <c r="EI195"/>
      <c r="EJ195"/>
      <c r="EK195"/>
      <c r="EL195"/>
      <c r="EM195"/>
      <c r="EN195"/>
      <c r="EO195"/>
      <c r="EP195"/>
      <c r="EQ195"/>
      <c r="ER195">
        <v>187</v>
      </c>
      <c r="ES195"/>
      <c r="ET195"/>
      <c r="EU195"/>
      <c r="EV195" s="439">
        <v>1471</v>
      </c>
      <c r="EW195" t="s">
        <v>2685</v>
      </c>
      <c r="EX195" t="s">
        <v>1020</v>
      </c>
      <c r="EY195" t="s">
        <v>2686</v>
      </c>
      <c r="EZ195" t="s">
        <v>54</v>
      </c>
      <c r="FA195">
        <v>55803</v>
      </c>
      <c r="FB195"/>
    </row>
    <row r="196" spans="1:158" x14ac:dyDescent="0.2">
      <c r="A196" s="439">
        <v>736</v>
      </c>
      <c r="B196" t="s">
        <v>1952</v>
      </c>
      <c r="C196" t="s">
        <v>1105</v>
      </c>
      <c r="D196" t="s">
        <v>1953</v>
      </c>
      <c r="E196" t="s">
        <v>911</v>
      </c>
      <c r="F196" t="s">
        <v>746</v>
      </c>
      <c r="G196" t="s">
        <v>54</v>
      </c>
      <c r="H196" s="576">
        <v>55337</v>
      </c>
      <c r="I196"/>
      <c r="J196" t="s">
        <v>1954</v>
      </c>
      <c r="K196"/>
      <c r="L196" t="s">
        <v>1705</v>
      </c>
      <c r="M196" t="s">
        <v>744</v>
      </c>
      <c r="N196" t="s">
        <v>54</v>
      </c>
      <c r="O196" s="576">
        <v>55422</v>
      </c>
      <c r="P196"/>
      <c r="Q196">
        <v>9524358516</v>
      </c>
      <c r="R196">
        <v>9524358518</v>
      </c>
      <c r="S196" t="s">
        <v>1955</v>
      </c>
      <c r="T196" t="s">
        <v>1956</v>
      </c>
      <c r="U196" t="s">
        <v>1957</v>
      </c>
      <c r="V196" t="s">
        <v>1958</v>
      </c>
      <c r="W196" t="s">
        <v>1959</v>
      </c>
      <c r="X196" t="s">
        <v>1593</v>
      </c>
      <c r="Y196" t="s">
        <v>1960</v>
      </c>
      <c r="Z196" t="s">
        <v>1737</v>
      </c>
      <c r="AA196" t="s">
        <v>1961</v>
      </c>
      <c r="AB196">
        <v>7633024091</v>
      </c>
      <c r="AC196"/>
      <c r="AD196">
        <v>7632872303</v>
      </c>
      <c r="AE196" t="s">
        <v>1962</v>
      </c>
      <c r="AF196" t="s">
        <v>1954</v>
      </c>
      <c r="AG196"/>
      <c r="AH196" t="s">
        <v>1705</v>
      </c>
      <c r="AI196" t="s">
        <v>744</v>
      </c>
      <c r="AJ196" t="s">
        <v>54</v>
      </c>
      <c r="AK196" s="576">
        <v>55422</v>
      </c>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c r="BR196"/>
      <c r="BS196"/>
      <c r="BT196"/>
      <c r="BU196"/>
      <c r="BV196"/>
      <c r="BW196"/>
      <c r="BX196"/>
      <c r="BY196"/>
      <c r="BZ196"/>
      <c r="CA196"/>
      <c r="CB196"/>
      <c r="CC196"/>
      <c r="CD196"/>
      <c r="CE196"/>
      <c r="CF196" t="s">
        <v>1963</v>
      </c>
      <c r="CG196" t="s">
        <v>1961</v>
      </c>
      <c r="CH196" t="s">
        <v>141</v>
      </c>
      <c r="CI196"/>
      <c r="CJ196"/>
      <c r="CK196"/>
      <c r="CL196"/>
      <c r="CM196">
        <v>1992739247</v>
      </c>
      <c r="CN196">
        <v>190</v>
      </c>
      <c r="CO196">
        <v>188</v>
      </c>
      <c r="CP196"/>
      <c r="CQ196"/>
      <c r="CR196"/>
      <c r="CS196" t="s">
        <v>788</v>
      </c>
      <c r="CT196">
        <v>12</v>
      </c>
      <c r="CU196"/>
      <c r="CV196"/>
      <c r="CW196"/>
      <c r="CX196"/>
      <c r="CY196"/>
      <c r="CZ196"/>
      <c r="DA196"/>
      <c r="DB196"/>
      <c r="DC196"/>
      <c r="DD196">
        <v>128</v>
      </c>
      <c r="DE196" t="s">
        <v>1964</v>
      </c>
      <c r="DF196"/>
      <c r="DG196"/>
      <c r="DH196"/>
      <c r="DI196"/>
      <c r="DJ196"/>
      <c r="DK196"/>
      <c r="DL196"/>
      <c r="DM196"/>
      <c r="DN196"/>
      <c r="DO196"/>
      <c r="DP196"/>
      <c r="DQ196"/>
      <c r="DR196"/>
      <c r="DS196"/>
      <c r="DT196"/>
      <c r="DU196"/>
      <c r="DV196"/>
      <c r="DW196"/>
      <c r="DX196"/>
      <c r="DY196"/>
      <c r="DZ196"/>
      <c r="EA196"/>
      <c r="EB196"/>
      <c r="EC196"/>
      <c r="ED196"/>
      <c r="EE196"/>
      <c r="EF196"/>
      <c r="EG196"/>
      <c r="EH196"/>
      <c r="EI196"/>
      <c r="EJ196"/>
      <c r="EK196"/>
      <c r="EL196"/>
      <c r="EM196"/>
      <c r="EN196"/>
      <c r="EO196"/>
      <c r="EP196"/>
      <c r="EQ196"/>
      <c r="ER196">
        <v>86</v>
      </c>
      <c r="ES196"/>
      <c r="ET196"/>
      <c r="EU196"/>
      <c r="EV196" s="439">
        <v>1473</v>
      </c>
      <c r="EW196" t="s">
        <v>821</v>
      </c>
      <c r="EX196" t="s">
        <v>822</v>
      </c>
      <c r="EY196" t="s">
        <v>823</v>
      </c>
      <c r="EZ196" t="s">
        <v>54</v>
      </c>
      <c r="FA196">
        <v>55121</v>
      </c>
      <c r="FB196">
        <v>1881168441</v>
      </c>
    </row>
    <row r="197" spans="1:158" x14ac:dyDescent="0.2">
      <c r="A197" s="439">
        <v>1442</v>
      </c>
      <c r="B197" t="s">
        <v>1965</v>
      </c>
      <c r="C197" t="s">
        <v>1705</v>
      </c>
      <c r="D197" t="s">
        <v>1954</v>
      </c>
      <c r="E197"/>
      <c r="F197" t="s">
        <v>744</v>
      </c>
      <c r="G197" t="s">
        <v>54</v>
      </c>
      <c r="H197" s="576">
        <v>55422</v>
      </c>
      <c r="I197"/>
      <c r="J197" t="s">
        <v>1954</v>
      </c>
      <c r="K197"/>
      <c r="L197" t="s">
        <v>1705</v>
      </c>
      <c r="M197" t="s">
        <v>744</v>
      </c>
      <c r="N197" t="s">
        <v>54</v>
      </c>
      <c r="O197" s="576">
        <v>55422</v>
      </c>
      <c r="P197"/>
      <c r="Q197">
        <v>7635880661</v>
      </c>
      <c r="R197">
        <v>7632872303</v>
      </c>
      <c r="S197" t="s">
        <v>1955</v>
      </c>
      <c r="T197" t="s">
        <v>1956</v>
      </c>
      <c r="U197" t="s">
        <v>1957</v>
      </c>
      <c r="V197" t="s">
        <v>1958</v>
      </c>
      <c r="W197" t="s">
        <v>1959</v>
      </c>
      <c r="X197" t="s">
        <v>1593</v>
      </c>
      <c r="Y197" t="s">
        <v>1960</v>
      </c>
      <c r="Z197" t="s">
        <v>1737</v>
      </c>
      <c r="AA197" t="s">
        <v>1961</v>
      </c>
      <c r="AB197">
        <v>7633024091</v>
      </c>
      <c r="AC197"/>
      <c r="AD197">
        <v>7632872303</v>
      </c>
      <c r="AE197" t="s">
        <v>1962</v>
      </c>
      <c r="AF197" t="s">
        <v>1954</v>
      </c>
      <c r="AG197"/>
      <c r="AH197" t="s">
        <v>1705</v>
      </c>
      <c r="AI197" t="s">
        <v>744</v>
      </c>
      <c r="AJ197" t="s">
        <v>54</v>
      </c>
      <c r="AK197" s="576">
        <v>55422</v>
      </c>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c r="BR197"/>
      <c r="BS197"/>
      <c r="BT197"/>
      <c r="BU197"/>
      <c r="BV197"/>
      <c r="BW197"/>
      <c r="BX197"/>
      <c r="BY197"/>
      <c r="BZ197"/>
      <c r="CA197"/>
      <c r="CB197"/>
      <c r="CC197"/>
      <c r="CD197"/>
      <c r="CE197"/>
      <c r="CF197" t="s">
        <v>1963</v>
      </c>
      <c r="CG197" t="s">
        <v>1961</v>
      </c>
      <c r="CH197" t="s">
        <v>141</v>
      </c>
      <c r="CI197"/>
      <c r="CJ197"/>
      <c r="CK197"/>
      <c r="CL197"/>
      <c r="CM197">
        <v>1992739247</v>
      </c>
      <c r="CN197">
        <v>190</v>
      </c>
      <c r="CO197">
        <v>188</v>
      </c>
      <c r="CP197"/>
      <c r="CQ197"/>
      <c r="CR197"/>
      <c r="CS197" t="s">
        <v>788</v>
      </c>
      <c r="CT197">
        <v>12</v>
      </c>
      <c r="CU197"/>
      <c r="CV197"/>
      <c r="CW197"/>
      <c r="CX197"/>
      <c r="CY197"/>
      <c r="CZ197"/>
      <c r="DA197"/>
      <c r="DB197"/>
      <c r="DC197"/>
      <c r="DD197">
        <v>128</v>
      </c>
      <c r="DE197" t="s">
        <v>1964</v>
      </c>
      <c r="DF197"/>
      <c r="DG197"/>
      <c r="DH197"/>
      <c r="DI197"/>
      <c r="DJ197"/>
      <c r="DK197"/>
      <c r="DL197"/>
      <c r="DM197"/>
      <c r="DN197"/>
      <c r="DO197"/>
      <c r="DP197"/>
      <c r="DQ197"/>
      <c r="DR197"/>
      <c r="DS197"/>
      <c r="DT197"/>
      <c r="DU197"/>
      <c r="DV197"/>
      <c r="DW197"/>
      <c r="DX197"/>
      <c r="DY197"/>
      <c r="DZ197"/>
      <c r="EA197"/>
      <c r="EB197"/>
      <c r="EC197"/>
      <c r="ED197"/>
      <c r="EE197"/>
      <c r="EF197"/>
      <c r="EG197"/>
      <c r="EH197"/>
      <c r="EI197"/>
      <c r="EJ197"/>
      <c r="EK197"/>
      <c r="EL197"/>
      <c r="EM197"/>
      <c r="EN197"/>
      <c r="EO197"/>
      <c r="EP197"/>
      <c r="EQ197"/>
      <c r="ER197">
        <v>86</v>
      </c>
      <c r="ES197"/>
      <c r="ET197"/>
      <c r="EU197"/>
      <c r="EV197" s="439">
        <v>1076</v>
      </c>
      <c r="EW197" t="s">
        <v>2877</v>
      </c>
      <c r="EX197" t="s">
        <v>822</v>
      </c>
      <c r="EY197" t="s">
        <v>2878</v>
      </c>
      <c r="EZ197" t="s">
        <v>54</v>
      </c>
      <c r="FA197">
        <v>55122</v>
      </c>
      <c r="FB197"/>
    </row>
    <row r="198" spans="1:158" x14ac:dyDescent="0.2">
      <c r="A198" s="439">
        <v>735</v>
      </c>
      <c r="B198" t="s">
        <v>1966</v>
      </c>
      <c r="C198" t="s">
        <v>1705</v>
      </c>
      <c r="D198" t="s">
        <v>1954</v>
      </c>
      <c r="E198"/>
      <c r="F198" t="s">
        <v>744</v>
      </c>
      <c r="G198" t="s">
        <v>54</v>
      </c>
      <c r="H198" s="576">
        <v>55422</v>
      </c>
      <c r="I198"/>
      <c r="J198" t="s">
        <v>1954</v>
      </c>
      <c r="K198"/>
      <c r="L198" t="s">
        <v>1705</v>
      </c>
      <c r="M198" t="s">
        <v>744</v>
      </c>
      <c r="N198" t="s">
        <v>54</v>
      </c>
      <c r="O198" s="576">
        <v>55422</v>
      </c>
      <c r="P198"/>
      <c r="Q198">
        <v>7635880661</v>
      </c>
      <c r="R198">
        <v>7632872303</v>
      </c>
      <c r="S198" t="s">
        <v>1955</v>
      </c>
      <c r="T198" t="s">
        <v>1956</v>
      </c>
      <c r="U198" t="s">
        <v>1957</v>
      </c>
      <c r="V198" t="s">
        <v>1958</v>
      </c>
      <c r="W198" t="s">
        <v>1959</v>
      </c>
      <c r="X198" t="s">
        <v>1593</v>
      </c>
      <c r="Y198" t="s">
        <v>1960</v>
      </c>
      <c r="Z198" t="s">
        <v>1737</v>
      </c>
      <c r="AA198" t="s">
        <v>1961</v>
      </c>
      <c r="AB198">
        <v>7633024091</v>
      </c>
      <c r="AC198"/>
      <c r="AD198">
        <v>7632872303</v>
      </c>
      <c r="AE198" t="s">
        <v>1962</v>
      </c>
      <c r="AF198" t="s">
        <v>1954</v>
      </c>
      <c r="AG198"/>
      <c r="AH198" t="s">
        <v>1705</v>
      </c>
      <c r="AI198" t="s">
        <v>744</v>
      </c>
      <c r="AJ198" t="s">
        <v>54</v>
      </c>
      <c r="AK198" s="576">
        <v>55422</v>
      </c>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c r="BR198"/>
      <c r="BS198"/>
      <c r="BT198"/>
      <c r="BU198"/>
      <c r="BV198"/>
      <c r="BW198"/>
      <c r="BX198"/>
      <c r="BY198"/>
      <c r="BZ198"/>
      <c r="CA198"/>
      <c r="CB198"/>
      <c r="CC198"/>
      <c r="CD198"/>
      <c r="CE198"/>
      <c r="CF198" t="s">
        <v>1963</v>
      </c>
      <c r="CG198" t="s">
        <v>1961</v>
      </c>
      <c r="CH198" t="s">
        <v>141</v>
      </c>
      <c r="CI198"/>
      <c r="CJ198"/>
      <c r="CK198"/>
      <c r="CL198"/>
      <c r="CM198">
        <v>1992739247</v>
      </c>
      <c r="CN198">
        <v>190</v>
      </c>
      <c r="CO198">
        <v>188</v>
      </c>
      <c r="CP198"/>
      <c r="CQ198"/>
      <c r="CR198"/>
      <c r="CS198" t="s">
        <v>788</v>
      </c>
      <c r="CT198">
        <v>12</v>
      </c>
      <c r="CU198"/>
      <c r="CV198"/>
      <c r="CW198"/>
      <c r="CX198"/>
      <c r="CY198"/>
      <c r="CZ198"/>
      <c r="DA198"/>
      <c r="DB198"/>
      <c r="DC198"/>
      <c r="DD198">
        <v>128</v>
      </c>
      <c r="DE198" t="s">
        <v>1964</v>
      </c>
      <c r="DF198"/>
      <c r="DG198"/>
      <c r="DH198"/>
      <c r="DI198"/>
      <c r="DJ198"/>
      <c r="DK198"/>
      <c r="DL198"/>
      <c r="DM198"/>
      <c r="DN198"/>
      <c r="DO198"/>
      <c r="DP198"/>
      <c r="DQ198"/>
      <c r="DR198"/>
      <c r="DS198"/>
      <c r="DT198"/>
      <c r="DU198"/>
      <c r="DV198"/>
      <c r="DW198"/>
      <c r="DX198"/>
      <c r="DY198"/>
      <c r="DZ198"/>
      <c r="EA198"/>
      <c r="EB198"/>
      <c r="EC198"/>
      <c r="ED198"/>
      <c r="EE198"/>
      <c r="EF198"/>
      <c r="EG198"/>
      <c r="EH198"/>
      <c r="EI198"/>
      <c r="EJ198"/>
      <c r="EK198"/>
      <c r="EL198"/>
      <c r="EM198"/>
      <c r="EN198"/>
      <c r="EO198"/>
      <c r="EP198"/>
      <c r="EQ198"/>
      <c r="ER198">
        <v>86</v>
      </c>
      <c r="ES198"/>
      <c r="ET198"/>
      <c r="EU198"/>
      <c r="EV198" s="439">
        <v>402</v>
      </c>
      <c r="EW198" t="s">
        <v>2879</v>
      </c>
      <c r="EX198" t="s">
        <v>822</v>
      </c>
      <c r="EY198" t="s">
        <v>2256</v>
      </c>
      <c r="EZ198" t="s">
        <v>54</v>
      </c>
      <c r="FA198">
        <v>55121</v>
      </c>
      <c r="FB198">
        <v>1336665306</v>
      </c>
    </row>
    <row r="199" spans="1:158" x14ac:dyDescent="0.2">
      <c r="A199" s="439">
        <v>1045</v>
      </c>
      <c r="B199" t="s">
        <v>1967</v>
      </c>
      <c r="C199" t="s">
        <v>1705</v>
      </c>
      <c r="D199" t="s">
        <v>1954</v>
      </c>
      <c r="E199"/>
      <c r="F199" t="s">
        <v>744</v>
      </c>
      <c r="G199" t="s">
        <v>54</v>
      </c>
      <c r="H199" s="576">
        <v>55422</v>
      </c>
      <c r="I199"/>
      <c r="J199" t="s">
        <v>1954</v>
      </c>
      <c r="K199"/>
      <c r="L199" t="s">
        <v>1705</v>
      </c>
      <c r="M199" t="s">
        <v>744</v>
      </c>
      <c r="N199" t="s">
        <v>54</v>
      </c>
      <c r="O199" s="576">
        <v>55422</v>
      </c>
      <c r="P199"/>
      <c r="Q199">
        <v>7635880661</v>
      </c>
      <c r="R199">
        <v>7632872303</v>
      </c>
      <c r="S199" t="s">
        <v>1955</v>
      </c>
      <c r="T199" t="s">
        <v>1956</v>
      </c>
      <c r="U199" t="s">
        <v>1957</v>
      </c>
      <c r="V199" t="s">
        <v>1958</v>
      </c>
      <c r="W199" t="s">
        <v>1959</v>
      </c>
      <c r="X199" t="s">
        <v>1593</v>
      </c>
      <c r="Y199" t="s">
        <v>1960</v>
      </c>
      <c r="Z199" t="s">
        <v>1737</v>
      </c>
      <c r="AA199" t="s">
        <v>1961</v>
      </c>
      <c r="AB199">
        <v>7633024091</v>
      </c>
      <c r="AC199"/>
      <c r="AD199">
        <v>7632872303</v>
      </c>
      <c r="AE199" t="s">
        <v>1962</v>
      </c>
      <c r="AF199" t="s">
        <v>1954</v>
      </c>
      <c r="AG199"/>
      <c r="AH199" t="s">
        <v>1705</v>
      </c>
      <c r="AI199" t="s">
        <v>744</v>
      </c>
      <c r="AJ199" t="s">
        <v>54</v>
      </c>
      <c r="AK199" s="576">
        <v>55422</v>
      </c>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t="s">
        <v>1593</v>
      </c>
      <c r="BR199" t="s">
        <v>1960</v>
      </c>
      <c r="BS199" t="s">
        <v>1737</v>
      </c>
      <c r="BT199" t="s">
        <v>1961</v>
      </c>
      <c r="BU199">
        <v>7633024091</v>
      </c>
      <c r="BV199"/>
      <c r="BW199">
        <v>7632872303</v>
      </c>
      <c r="BX199" t="s">
        <v>1962</v>
      </c>
      <c r="BY199" t="s">
        <v>1954</v>
      </c>
      <c r="BZ199"/>
      <c r="CA199" t="s">
        <v>1705</v>
      </c>
      <c r="CB199" t="s">
        <v>744</v>
      </c>
      <c r="CC199" t="s">
        <v>54</v>
      </c>
      <c r="CD199" s="576">
        <v>55422</v>
      </c>
      <c r="CE199"/>
      <c r="CF199" t="s">
        <v>1963</v>
      </c>
      <c r="CG199" t="s">
        <v>1961</v>
      </c>
      <c r="CH199" t="s">
        <v>141</v>
      </c>
      <c r="CI199"/>
      <c r="CJ199"/>
      <c r="CK199"/>
      <c r="CL199"/>
      <c r="CM199">
        <v>1992739247</v>
      </c>
      <c r="CN199">
        <v>190</v>
      </c>
      <c r="CO199">
        <v>188</v>
      </c>
      <c r="CP199"/>
      <c r="CQ199"/>
      <c r="CR199">
        <v>188</v>
      </c>
      <c r="CS199" t="s">
        <v>788</v>
      </c>
      <c r="CT199">
        <v>12</v>
      </c>
      <c r="CU199"/>
      <c r="CV199"/>
      <c r="CW199"/>
      <c r="CX199"/>
      <c r="CY199"/>
      <c r="CZ199"/>
      <c r="DA199"/>
      <c r="DB199"/>
      <c r="DC199"/>
      <c r="DD199">
        <v>128</v>
      </c>
      <c r="DE199" t="s">
        <v>1964</v>
      </c>
      <c r="DF199"/>
      <c r="DG199"/>
      <c r="DH199"/>
      <c r="DI199"/>
      <c r="DJ199"/>
      <c r="DK199"/>
      <c r="DL199"/>
      <c r="DM199"/>
      <c r="DN199"/>
      <c r="DO199"/>
      <c r="DP199"/>
      <c r="DQ199"/>
      <c r="DR199"/>
      <c r="DS199"/>
      <c r="DT199"/>
      <c r="DU199"/>
      <c r="DV199"/>
      <c r="DW199"/>
      <c r="DX199"/>
      <c r="DY199"/>
      <c r="DZ199"/>
      <c r="EA199"/>
      <c r="EB199"/>
      <c r="EC199"/>
      <c r="ED199"/>
      <c r="EE199"/>
      <c r="EF199"/>
      <c r="EG199"/>
      <c r="EH199"/>
      <c r="EI199"/>
      <c r="EJ199"/>
      <c r="EK199"/>
      <c r="EL199"/>
      <c r="EM199"/>
      <c r="EN199"/>
      <c r="EO199"/>
      <c r="EP199"/>
      <c r="EQ199"/>
      <c r="ER199">
        <v>86</v>
      </c>
      <c r="ES199"/>
      <c r="ET199"/>
      <c r="EU199"/>
      <c r="EV199" s="439">
        <v>397</v>
      </c>
      <c r="EW199" t="s">
        <v>2880</v>
      </c>
      <c r="EX199" t="s">
        <v>822</v>
      </c>
      <c r="EY199" t="s">
        <v>2532</v>
      </c>
      <c r="EZ199" t="s">
        <v>54</v>
      </c>
      <c r="FA199">
        <v>55121</v>
      </c>
      <c r="FB199">
        <v>1164870895</v>
      </c>
    </row>
    <row r="200" spans="1:158" x14ac:dyDescent="0.2">
      <c r="A200" s="439">
        <v>1465</v>
      </c>
      <c r="B200" t="s">
        <v>1968</v>
      </c>
      <c r="C200" t="s">
        <v>829</v>
      </c>
      <c r="D200" t="s">
        <v>1969</v>
      </c>
      <c r="E200" t="s">
        <v>911</v>
      </c>
      <c r="F200" t="s">
        <v>744</v>
      </c>
      <c r="G200" t="s">
        <v>54</v>
      </c>
      <c r="H200" s="576">
        <v>55369</v>
      </c>
      <c r="I200" s="576">
        <v>7588</v>
      </c>
      <c r="J200" t="s">
        <v>1969</v>
      </c>
      <c r="K200" t="s">
        <v>911</v>
      </c>
      <c r="L200" t="s">
        <v>829</v>
      </c>
      <c r="M200" t="s">
        <v>744</v>
      </c>
      <c r="N200" t="s">
        <v>54</v>
      </c>
      <c r="O200" s="576">
        <v>55369</v>
      </c>
      <c r="P200" s="576">
        <v>7588</v>
      </c>
      <c r="Q200">
        <v>7637122100</v>
      </c>
      <c r="R200">
        <v>6514143101</v>
      </c>
      <c r="S200" t="s">
        <v>1057</v>
      </c>
      <c r="T200" t="s">
        <v>1970</v>
      </c>
      <c r="U200" t="s">
        <v>1009</v>
      </c>
      <c r="V200" t="s">
        <v>1971</v>
      </c>
      <c r="W200" t="s">
        <v>1972</v>
      </c>
      <c r="X200" t="s">
        <v>1973</v>
      </c>
      <c r="Y200" t="s">
        <v>1974</v>
      </c>
      <c r="Z200" t="s">
        <v>1975</v>
      </c>
      <c r="AA200" t="s">
        <v>1976</v>
      </c>
      <c r="AB200">
        <v>6516025389</v>
      </c>
      <c r="AC200"/>
      <c r="AD200">
        <v>6514143109</v>
      </c>
      <c r="AE200" t="s">
        <v>1977</v>
      </c>
      <c r="AF200" t="s">
        <v>1978</v>
      </c>
      <c r="AG200" t="s">
        <v>1979</v>
      </c>
      <c r="AH200" t="s">
        <v>1029</v>
      </c>
      <c r="AI200" t="s">
        <v>912</v>
      </c>
      <c r="AJ200" t="s">
        <v>54</v>
      </c>
      <c r="AK200" s="576">
        <v>55114</v>
      </c>
      <c r="AL200"/>
      <c r="AM200" t="s">
        <v>1980</v>
      </c>
      <c r="AN200" t="s">
        <v>1981</v>
      </c>
      <c r="AO200" t="s">
        <v>1456</v>
      </c>
      <c r="AP200" t="s">
        <v>1976</v>
      </c>
      <c r="AQ200">
        <v>6516025330</v>
      </c>
      <c r="AR200"/>
      <c r="AS200">
        <v>6514143109</v>
      </c>
      <c r="AT200" t="s">
        <v>749</v>
      </c>
      <c r="AU200" t="s">
        <v>1978</v>
      </c>
      <c r="AV200" t="s">
        <v>1979</v>
      </c>
      <c r="AW200" t="s">
        <v>1029</v>
      </c>
      <c r="AX200" t="s">
        <v>912</v>
      </c>
      <c r="AY200" t="s">
        <v>54</v>
      </c>
      <c r="AZ200" s="576">
        <v>55114</v>
      </c>
      <c r="BA200"/>
      <c r="BB200"/>
      <c r="BC200"/>
      <c r="BD200"/>
      <c r="BE200"/>
      <c r="BF200"/>
      <c r="BG200"/>
      <c r="BH200"/>
      <c r="BI200"/>
      <c r="BJ200"/>
      <c r="BK200"/>
      <c r="BL200"/>
      <c r="BM200"/>
      <c r="BN200"/>
      <c r="BO200"/>
      <c r="BP200"/>
      <c r="BQ200" t="s">
        <v>1973</v>
      </c>
      <c r="BR200" t="s">
        <v>1974</v>
      </c>
      <c r="BS200" t="s">
        <v>1975</v>
      </c>
      <c r="BT200" t="s">
        <v>1976</v>
      </c>
      <c r="BU200">
        <v>6516025389</v>
      </c>
      <c r="BV200"/>
      <c r="BW200">
        <v>6514143109</v>
      </c>
      <c r="BX200" t="s">
        <v>1977</v>
      </c>
      <c r="BY200" t="s">
        <v>1978</v>
      </c>
      <c r="BZ200" t="s">
        <v>1979</v>
      </c>
      <c r="CA200" t="s">
        <v>1029</v>
      </c>
      <c r="CB200" t="s">
        <v>912</v>
      </c>
      <c r="CC200" t="s">
        <v>54</v>
      </c>
      <c r="CD200" s="576">
        <v>55114</v>
      </c>
      <c r="CE200"/>
      <c r="CF200" t="s">
        <v>1982</v>
      </c>
      <c r="CG200" t="s">
        <v>1983</v>
      </c>
      <c r="CH200" t="s">
        <v>749</v>
      </c>
      <c r="CI200"/>
      <c r="CJ200"/>
      <c r="CK200"/>
      <c r="CL200"/>
      <c r="CM200">
        <v>1790494318</v>
      </c>
      <c r="CN200">
        <v>202</v>
      </c>
      <c r="CO200">
        <v>191</v>
      </c>
      <c r="CP200">
        <v>3205</v>
      </c>
      <c r="CQ200"/>
      <c r="CR200">
        <v>191</v>
      </c>
      <c r="CS200" t="s">
        <v>788</v>
      </c>
      <c r="CT200">
        <v>12</v>
      </c>
      <c r="CU200"/>
      <c r="CV200"/>
      <c r="CW200"/>
      <c r="CX200" t="s">
        <v>749</v>
      </c>
      <c r="CY200"/>
      <c r="CZ200" t="s">
        <v>749</v>
      </c>
      <c r="DA200" t="s">
        <v>749</v>
      </c>
      <c r="DB200" t="s">
        <v>749</v>
      </c>
      <c r="DC200" t="s">
        <v>749</v>
      </c>
      <c r="DD200"/>
      <c r="DE200"/>
      <c r="DF200">
        <v>131</v>
      </c>
      <c r="DG200" t="s">
        <v>1984</v>
      </c>
      <c r="DH200">
        <v>129</v>
      </c>
      <c r="DI200" t="s">
        <v>1985</v>
      </c>
      <c r="DJ200"/>
      <c r="DK200"/>
      <c r="DL200"/>
      <c r="DM200"/>
      <c r="DN200"/>
      <c r="DO200"/>
      <c r="DP200"/>
      <c r="DQ200"/>
      <c r="DR200"/>
      <c r="DS200"/>
      <c r="DT200"/>
      <c r="DU200"/>
      <c r="DV200"/>
      <c r="DW200"/>
      <c r="DX200"/>
      <c r="DY200"/>
      <c r="DZ200"/>
      <c r="EA200"/>
      <c r="EB200"/>
      <c r="EC200"/>
      <c r="ED200"/>
      <c r="EE200"/>
      <c r="EF200"/>
      <c r="EG200"/>
      <c r="EH200"/>
      <c r="EI200"/>
      <c r="EJ200"/>
      <c r="EK200"/>
      <c r="EL200"/>
      <c r="EM200"/>
      <c r="EN200"/>
      <c r="EO200"/>
      <c r="EP200"/>
      <c r="EQ200"/>
      <c r="ER200">
        <v>87</v>
      </c>
      <c r="ES200"/>
      <c r="ET200"/>
      <c r="EU200"/>
      <c r="EV200" s="439">
        <v>425</v>
      </c>
      <c r="EW200" t="s">
        <v>2881</v>
      </c>
      <c r="EX200" t="s">
        <v>822</v>
      </c>
      <c r="EY200" t="s">
        <v>2882</v>
      </c>
      <c r="EZ200" t="s">
        <v>54</v>
      </c>
      <c r="FA200">
        <v>55121</v>
      </c>
      <c r="FB200">
        <v>1881375319</v>
      </c>
    </row>
    <row r="201" spans="1:158" x14ac:dyDescent="0.2">
      <c r="A201" s="439">
        <v>753</v>
      </c>
      <c r="B201" t="s">
        <v>1986</v>
      </c>
      <c r="C201" t="s">
        <v>1036</v>
      </c>
      <c r="D201" t="s">
        <v>1987</v>
      </c>
      <c r="E201"/>
      <c r="F201" t="s">
        <v>912</v>
      </c>
      <c r="G201" t="s">
        <v>54</v>
      </c>
      <c r="H201" s="576">
        <v>55109</v>
      </c>
      <c r="I201"/>
      <c r="J201" t="s">
        <v>1987</v>
      </c>
      <c r="K201"/>
      <c r="L201" t="s">
        <v>1036</v>
      </c>
      <c r="M201" t="s">
        <v>912</v>
      </c>
      <c r="N201" t="s">
        <v>54</v>
      </c>
      <c r="O201" s="576">
        <v>55109</v>
      </c>
      <c r="P201"/>
      <c r="Q201">
        <v>6517797978</v>
      </c>
      <c r="R201">
        <v>6517797656</v>
      </c>
      <c r="S201" t="s">
        <v>1988</v>
      </c>
      <c r="T201" t="s">
        <v>1989</v>
      </c>
      <c r="U201" t="s">
        <v>1990</v>
      </c>
      <c r="V201" t="s">
        <v>1991</v>
      </c>
      <c r="W201" t="s">
        <v>1972</v>
      </c>
      <c r="X201" t="s">
        <v>1973</v>
      </c>
      <c r="Y201" t="s">
        <v>1974</v>
      </c>
      <c r="Z201" t="s">
        <v>1975</v>
      </c>
      <c r="AA201" t="s">
        <v>1976</v>
      </c>
      <c r="AB201">
        <v>6516025389</v>
      </c>
      <c r="AC201"/>
      <c r="AD201">
        <v>6514143109</v>
      </c>
      <c r="AE201" t="s">
        <v>1977</v>
      </c>
      <c r="AF201" t="s">
        <v>1978</v>
      </c>
      <c r="AG201" t="s">
        <v>1979</v>
      </c>
      <c r="AH201" t="s">
        <v>1029</v>
      </c>
      <c r="AI201" t="s">
        <v>912</v>
      </c>
      <c r="AJ201" t="s">
        <v>54</v>
      </c>
      <c r="AK201" s="576">
        <v>55114</v>
      </c>
      <c r="AL201"/>
      <c r="AM201" t="s">
        <v>1980</v>
      </c>
      <c r="AN201" t="s">
        <v>1981</v>
      </c>
      <c r="AO201" t="s">
        <v>1456</v>
      </c>
      <c r="AP201" t="s">
        <v>1976</v>
      </c>
      <c r="AQ201">
        <v>6516025330</v>
      </c>
      <c r="AR201"/>
      <c r="AS201">
        <v>6514143109</v>
      </c>
      <c r="AT201" t="s">
        <v>749</v>
      </c>
      <c r="AU201" t="s">
        <v>1978</v>
      </c>
      <c r="AV201" t="s">
        <v>1979</v>
      </c>
      <c r="AW201" t="s">
        <v>1029</v>
      </c>
      <c r="AX201" t="s">
        <v>912</v>
      </c>
      <c r="AY201" t="s">
        <v>54</v>
      </c>
      <c r="AZ201" s="576">
        <v>55114</v>
      </c>
      <c r="BA201"/>
      <c r="BB201"/>
      <c r="BC201"/>
      <c r="BD201"/>
      <c r="BE201"/>
      <c r="BF201"/>
      <c r="BG201"/>
      <c r="BH201"/>
      <c r="BI201"/>
      <c r="BJ201"/>
      <c r="BK201"/>
      <c r="BL201"/>
      <c r="BM201"/>
      <c r="BN201"/>
      <c r="BO201"/>
      <c r="BP201"/>
      <c r="BQ201" t="s">
        <v>1973</v>
      </c>
      <c r="BR201" t="s">
        <v>1974</v>
      </c>
      <c r="BS201" t="s">
        <v>1975</v>
      </c>
      <c r="BT201" t="s">
        <v>1976</v>
      </c>
      <c r="BU201">
        <v>6516025389</v>
      </c>
      <c r="BV201"/>
      <c r="BW201">
        <v>6514143109</v>
      </c>
      <c r="BX201" t="s">
        <v>1977</v>
      </c>
      <c r="BY201" t="s">
        <v>1978</v>
      </c>
      <c r="BZ201" t="s">
        <v>1979</v>
      </c>
      <c r="CA201" t="s">
        <v>1029</v>
      </c>
      <c r="CB201" t="s">
        <v>912</v>
      </c>
      <c r="CC201" t="s">
        <v>54</v>
      </c>
      <c r="CD201" s="576">
        <v>55114</v>
      </c>
      <c r="CE201"/>
      <c r="CF201" t="s">
        <v>1992</v>
      </c>
      <c r="CG201" t="s">
        <v>1983</v>
      </c>
      <c r="CH201" t="s">
        <v>56</v>
      </c>
      <c r="CI201"/>
      <c r="CJ201"/>
      <c r="CK201"/>
      <c r="CL201"/>
      <c r="CM201">
        <v>1376686774</v>
      </c>
      <c r="CN201">
        <v>406</v>
      </c>
      <c r="CO201">
        <v>191</v>
      </c>
      <c r="CP201">
        <v>3205</v>
      </c>
      <c r="CQ201"/>
      <c r="CR201">
        <v>191</v>
      </c>
      <c r="CS201" t="s">
        <v>788</v>
      </c>
      <c r="CT201">
        <v>12</v>
      </c>
      <c r="CU201"/>
      <c r="CV201"/>
      <c r="CW201"/>
      <c r="CX201"/>
      <c r="CY201"/>
      <c r="CZ201"/>
      <c r="DA201"/>
      <c r="DB201"/>
      <c r="DC201"/>
      <c r="DD201"/>
      <c r="DE201"/>
      <c r="DF201">
        <v>131</v>
      </c>
      <c r="DG201" t="s">
        <v>1993</v>
      </c>
      <c r="DH201">
        <v>129</v>
      </c>
      <c r="DI201" t="s">
        <v>1994</v>
      </c>
      <c r="DJ201"/>
      <c r="DK201"/>
      <c r="DL201"/>
      <c r="DM201"/>
      <c r="DN201"/>
      <c r="DO201"/>
      <c r="DP201"/>
      <c r="DQ201"/>
      <c r="DR201"/>
      <c r="DS201"/>
      <c r="DT201"/>
      <c r="DU201"/>
      <c r="DV201"/>
      <c r="DW201"/>
      <c r="DX201"/>
      <c r="DY201"/>
      <c r="DZ201"/>
      <c r="EA201"/>
      <c r="EB201"/>
      <c r="EC201"/>
      <c r="ED201"/>
      <c r="EE201"/>
      <c r="EF201"/>
      <c r="EG201"/>
      <c r="EH201"/>
      <c r="EI201"/>
      <c r="EJ201"/>
      <c r="EK201"/>
      <c r="EL201"/>
      <c r="EM201"/>
      <c r="EN201"/>
      <c r="EO201"/>
      <c r="EP201"/>
      <c r="EQ201"/>
      <c r="ER201">
        <v>87</v>
      </c>
      <c r="ES201"/>
      <c r="ET201"/>
      <c r="EU201"/>
      <c r="EV201" s="439">
        <v>345</v>
      </c>
      <c r="EW201" t="s">
        <v>2883</v>
      </c>
      <c r="EX201" t="s">
        <v>822</v>
      </c>
      <c r="EY201" t="s">
        <v>2884</v>
      </c>
      <c r="EZ201" t="s">
        <v>54</v>
      </c>
      <c r="FA201">
        <v>55123</v>
      </c>
      <c r="FB201">
        <v>1669496345</v>
      </c>
    </row>
    <row r="202" spans="1:158" x14ac:dyDescent="0.2">
      <c r="A202" s="439">
        <v>1656</v>
      </c>
      <c r="B202" t="s">
        <v>1995</v>
      </c>
      <c r="C202" t="s">
        <v>1996</v>
      </c>
      <c r="D202" t="s">
        <v>1997</v>
      </c>
      <c r="E202" t="s">
        <v>1998</v>
      </c>
      <c r="F202"/>
      <c r="G202" t="s">
        <v>54</v>
      </c>
      <c r="H202" s="576">
        <v>55445</v>
      </c>
      <c r="I202" t="s">
        <v>749</v>
      </c>
      <c r="J202" t="s">
        <v>1997</v>
      </c>
      <c r="K202" t="s">
        <v>1998</v>
      </c>
      <c r="L202" t="s">
        <v>1996</v>
      </c>
      <c r="M202"/>
      <c r="N202" t="s">
        <v>54</v>
      </c>
      <c r="O202" s="576">
        <v>55445</v>
      </c>
      <c r="P202" t="s">
        <v>749</v>
      </c>
      <c r="Q202">
        <v>9529276501</v>
      </c>
      <c r="R202"/>
      <c r="S202" t="s">
        <v>749</v>
      </c>
      <c r="T202" t="s">
        <v>749</v>
      </c>
      <c r="U202" t="s">
        <v>749</v>
      </c>
      <c r="V202" t="s">
        <v>749</v>
      </c>
      <c r="W202" t="s">
        <v>749</v>
      </c>
      <c r="X202" t="s">
        <v>969</v>
      </c>
      <c r="Y202" t="s">
        <v>1999</v>
      </c>
      <c r="Z202" t="s">
        <v>2000</v>
      </c>
      <c r="AA202" t="s">
        <v>2001</v>
      </c>
      <c r="AB202">
        <v>4697743561</v>
      </c>
      <c r="AC202"/>
      <c r="AD202">
        <v>9529260294</v>
      </c>
      <c r="AE202" t="s">
        <v>2002</v>
      </c>
      <c r="AF202" t="s">
        <v>2003</v>
      </c>
      <c r="AG202" t="s">
        <v>749</v>
      </c>
      <c r="AH202" t="s">
        <v>967</v>
      </c>
      <c r="AI202" t="s">
        <v>744</v>
      </c>
      <c r="AJ202" t="s">
        <v>54</v>
      </c>
      <c r="AK202" s="576">
        <v>55435</v>
      </c>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t="s">
        <v>749</v>
      </c>
      <c r="CG202" t="s">
        <v>2001</v>
      </c>
      <c r="CH202" t="s">
        <v>141</v>
      </c>
      <c r="CI202"/>
      <c r="CJ202"/>
      <c r="CK202"/>
      <c r="CL202"/>
      <c r="CM202"/>
      <c r="CN202">
        <v>454</v>
      </c>
      <c r="CO202">
        <v>226</v>
      </c>
      <c r="CP202"/>
      <c r="CQ202"/>
      <c r="CR202"/>
      <c r="CS202" s="577">
        <v>45657</v>
      </c>
      <c r="CT202">
        <v>12</v>
      </c>
      <c r="CU202"/>
      <c r="CV202"/>
      <c r="CW202"/>
      <c r="CX202" t="s">
        <v>749</v>
      </c>
      <c r="CY202"/>
      <c r="CZ202" t="s">
        <v>749</v>
      </c>
      <c r="DA202" t="s">
        <v>749</v>
      </c>
      <c r="DB202" t="s">
        <v>749</v>
      </c>
      <c r="DC202" t="s">
        <v>749</v>
      </c>
      <c r="DD202"/>
      <c r="DE202"/>
      <c r="DF202"/>
      <c r="DG202"/>
      <c r="DH202"/>
      <c r="DI202"/>
      <c r="DJ202"/>
      <c r="DK202"/>
      <c r="DL202"/>
      <c r="DM202"/>
      <c r="DN202"/>
      <c r="DO202"/>
      <c r="DP202"/>
      <c r="DQ202"/>
      <c r="DR202"/>
      <c r="DS202"/>
      <c r="DT202"/>
      <c r="DU202"/>
      <c r="DV202"/>
      <c r="DW202"/>
      <c r="DX202"/>
      <c r="DY202"/>
      <c r="DZ202"/>
      <c r="EA202"/>
      <c r="EB202"/>
      <c r="EC202"/>
      <c r="ED202"/>
      <c r="EE202"/>
      <c r="EF202"/>
      <c r="EG202"/>
      <c r="EH202"/>
      <c r="EI202"/>
      <c r="EJ202"/>
      <c r="EK202"/>
      <c r="EL202"/>
      <c r="EM202"/>
      <c r="EN202"/>
      <c r="EO202"/>
      <c r="EP202"/>
      <c r="EQ202"/>
      <c r="ER202">
        <v>227</v>
      </c>
      <c r="ES202"/>
      <c r="ET202"/>
      <c r="EU202"/>
      <c r="EV202" s="439">
        <v>1321</v>
      </c>
      <c r="EW202" t="s">
        <v>2171</v>
      </c>
      <c r="EX202" t="s">
        <v>822</v>
      </c>
      <c r="EY202" t="s">
        <v>2172</v>
      </c>
      <c r="EZ202" t="s">
        <v>54</v>
      </c>
      <c r="FA202">
        <v>55123</v>
      </c>
      <c r="FB202">
        <v>1821195959</v>
      </c>
    </row>
    <row r="203" spans="1:158" x14ac:dyDescent="0.2">
      <c r="A203" s="439">
        <v>707</v>
      </c>
      <c r="B203" t="s">
        <v>2004</v>
      </c>
      <c r="C203" t="s">
        <v>967</v>
      </c>
      <c r="D203" t="s">
        <v>2003</v>
      </c>
      <c r="E203" t="s">
        <v>749</v>
      </c>
      <c r="F203" t="s">
        <v>744</v>
      </c>
      <c r="G203" t="s">
        <v>54</v>
      </c>
      <c r="H203" s="576">
        <v>55435</v>
      </c>
      <c r="I203" s="576">
        <v>2148</v>
      </c>
      <c r="J203" t="s">
        <v>2003</v>
      </c>
      <c r="K203" t="s">
        <v>749</v>
      </c>
      <c r="L203" t="s">
        <v>967</v>
      </c>
      <c r="M203" t="s">
        <v>744</v>
      </c>
      <c r="N203" t="s">
        <v>54</v>
      </c>
      <c r="O203" s="576">
        <v>55435</v>
      </c>
      <c r="P203"/>
      <c r="Q203">
        <v>9526531431</v>
      </c>
      <c r="R203">
        <v>9529260294</v>
      </c>
      <c r="S203" t="s">
        <v>969</v>
      </c>
      <c r="T203" t="s">
        <v>1999</v>
      </c>
      <c r="U203" t="s">
        <v>740</v>
      </c>
      <c r="V203" t="s">
        <v>2002</v>
      </c>
      <c r="W203" t="s">
        <v>2005</v>
      </c>
      <c r="X203" t="s">
        <v>969</v>
      </c>
      <c r="Y203" t="s">
        <v>1999</v>
      </c>
      <c r="Z203" t="s">
        <v>2000</v>
      </c>
      <c r="AA203" t="s">
        <v>2001</v>
      </c>
      <c r="AB203">
        <v>4697743561</v>
      </c>
      <c r="AC203"/>
      <c r="AD203">
        <v>9529260294</v>
      </c>
      <c r="AE203" t="s">
        <v>2002</v>
      </c>
      <c r="AF203" t="s">
        <v>2003</v>
      </c>
      <c r="AG203" t="s">
        <v>749</v>
      </c>
      <c r="AH203" t="s">
        <v>967</v>
      </c>
      <c r="AI203" t="s">
        <v>744</v>
      </c>
      <c r="AJ203" t="s">
        <v>54</v>
      </c>
      <c r="AK203" s="576">
        <v>55435</v>
      </c>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c r="CE203"/>
      <c r="CF203"/>
      <c r="CG203" t="s">
        <v>2001</v>
      </c>
      <c r="CH203" t="s">
        <v>141</v>
      </c>
      <c r="CI203"/>
      <c r="CJ203"/>
      <c r="CK203"/>
      <c r="CL203"/>
      <c r="CM203">
        <v>1962598920</v>
      </c>
      <c r="CN203">
        <v>365</v>
      </c>
      <c r="CO203">
        <v>226</v>
      </c>
      <c r="CP203"/>
      <c r="CQ203"/>
      <c r="CR203"/>
      <c r="CS203" t="s">
        <v>788</v>
      </c>
      <c r="CT203">
        <v>12</v>
      </c>
      <c r="CU203"/>
      <c r="CV203"/>
      <c r="CW203"/>
      <c r="CX203"/>
      <c r="CY203"/>
      <c r="CZ203"/>
      <c r="DA203"/>
      <c r="DB203"/>
      <c r="DC203"/>
      <c r="DD203"/>
      <c r="DE203"/>
      <c r="DF203"/>
      <c r="DG203"/>
      <c r="DH203"/>
      <c r="DI203"/>
      <c r="DJ203"/>
      <c r="DK203"/>
      <c r="DL203"/>
      <c r="DM203"/>
      <c r="DN203">
        <v>133</v>
      </c>
      <c r="DO203" t="s">
        <v>2006</v>
      </c>
      <c r="DP203"/>
      <c r="DQ203"/>
      <c r="DR203"/>
      <c r="DS203"/>
      <c r="DT203"/>
      <c r="DU203"/>
      <c r="DV203"/>
      <c r="DW203"/>
      <c r="DX203"/>
      <c r="DY203"/>
      <c r="DZ203"/>
      <c r="EA203"/>
      <c r="EB203"/>
      <c r="EC203"/>
      <c r="ED203"/>
      <c r="EE203"/>
      <c r="EF203"/>
      <c r="EG203"/>
      <c r="EH203"/>
      <c r="EI203"/>
      <c r="EJ203"/>
      <c r="EK203"/>
      <c r="EL203"/>
      <c r="EM203"/>
      <c r="EN203"/>
      <c r="EO203"/>
      <c r="EP203"/>
      <c r="EQ203"/>
      <c r="ER203">
        <v>227</v>
      </c>
      <c r="ES203"/>
      <c r="ET203"/>
      <c r="EU203"/>
      <c r="EV203" s="439">
        <v>1374</v>
      </c>
      <c r="EW203" t="s">
        <v>2255</v>
      </c>
      <c r="EX203" t="s">
        <v>822</v>
      </c>
      <c r="EY203" t="s">
        <v>2256</v>
      </c>
      <c r="EZ203" t="s">
        <v>54</v>
      </c>
      <c r="FA203">
        <v>55121</v>
      </c>
      <c r="FB203">
        <v>1659348092</v>
      </c>
    </row>
    <row r="204" spans="1:158" x14ac:dyDescent="0.2">
      <c r="A204" s="439">
        <v>1657</v>
      </c>
      <c r="B204" t="s">
        <v>2007</v>
      </c>
      <c r="C204" t="s">
        <v>835</v>
      </c>
      <c r="D204" t="s">
        <v>1144</v>
      </c>
      <c r="E204" t="s">
        <v>2008</v>
      </c>
      <c r="F204"/>
      <c r="G204" t="s">
        <v>54</v>
      </c>
      <c r="H204" s="576">
        <v>55125</v>
      </c>
      <c r="I204" t="s">
        <v>749</v>
      </c>
      <c r="J204" t="s">
        <v>1144</v>
      </c>
      <c r="K204" t="s">
        <v>2008</v>
      </c>
      <c r="L204" t="s">
        <v>835</v>
      </c>
      <c r="M204"/>
      <c r="N204" t="s">
        <v>54</v>
      </c>
      <c r="O204" s="576">
        <v>55125</v>
      </c>
      <c r="P204" t="s">
        <v>749</v>
      </c>
      <c r="Q204">
        <v>6519996800</v>
      </c>
      <c r="R204"/>
      <c r="S204" t="s">
        <v>749</v>
      </c>
      <c r="T204" t="s">
        <v>749</v>
      </c>
      <c r="U204" t="s">
        <v>749</v>
      </c>
      <c r="V204" t="s">
        <v>749</v>
      </c>
      <c r="W204" t="s">
        <v>749</v>
      </c>
      <c r="X204" t="s">
        <v>969</v>
      </c>
      <c r="Y204" t="s">
        <v>1999</v>
      </c>
      <c r="Z204" t="s">
        <v>2000</v>
      </c>
      <c r="AA204" t="s">
        <v>2001</v>
      </c>
      <c r="AB204">
        <v>4697743561</v>
      </c>
      <c r="AC204"/>
      <c r="AD204">
        <v>9529260294</v>
      </c>
      <c r="AE204" t="s">
        <v>2002</v>
      </c>
      <c r="AF204" t="s">
        <v>2003</v>
      </c>
      <c r="AG204" t="s">
        <v>749</v>
      </c>
      <c r="AH204" t="s">
        <v>967</v>
      </c>
      <c r="AI204" t="s">
        <v>744</v>
      </c>
      <c r="AJ204" t="s">
        <v>54</v>
      </c>
      <c r="AK204" s="576">
        <v>55435</v>
      </c>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t="s">
        <v>749</v>
      </c>
      <c r="CG204" t="s">
        <v>2001</v>
      </c>
      <c r="CH204" t="s">
        <v>141</v>
      </c>
      <c r="CI204"/>
      <c r="CJ204"/>
      <c r="CK204"/>
      <c r="CL204"/>
      <c r="CM204"/>
      <c r="CN204">
        <v>453</v>
      </c>
      <c r="CO204">
        <v>226</v>
      </c>
      <c r="CP204"/>
      <c r="CQ204"/>
      <c r="CR204"/>
      <c r="CS204" s="577">
        <v>45657</v>
      </c>
      <c r="CT204">
        <v>12</v>
      </c>
      <c r="CU204"/>
      <c r="CV204"/>
      <c r="CW204"/>
      <c r="CX204" t="s">
        <v>749</v>
      </c>
      <c r="CY204"/>
      <c r="CZ204" t="s">
        <v>749</v>
      </c>
      <c r="DA204" t="s">
        <v>749</v>
      </c>
      <c r="DB204" t="s">
        <v>749</v>
      </c>
      <c r="DC204" t="s">
        <v>749</v>
      </c>
      <c r="DD204"/>
      <c r="DE204"/>
      <c r="DF204"/>
      <c r="DG204"/>
      <c r="DH204"/>
      <c r="DI204"/>
      <c r="DJ204"/>
      <c r="DK204"/>
      <c r="DL204"/>
      <c r="DM204"/>
      <c r="DN204"/>
      <c r="DO204"/>
      <c r="DP204"/>
      <c r="DQ204"/>
      <c r="DR204"/>
      <c r="DS204"/>
      <c r="DT204"/>
      <c r="DU204"/>
      <c r="DV204"/>
      <c r="DW204"/>
      <c r="DX204"/>
      <c r="DY204"/>
      <c r="DZ204"/>
      <c r="EA204"/>
      <c r="EB204"/>
      <c r="EC204"/>
      <c r="ED204"/>
      <c r="EE204"/>
      <c r="EF204"/>
      <c r="EG204"/>
      <c r="EH204"/>
      <c r="EI204"/>
      <c r="EJ204"/>
      <c r="EK204"/>
      <c r="EL204"/>
      <c r="EM204"/>
      <c r="EN204"/>
      <c r="EO204"/>
      <c r="EP204"/>
      <c r="EQ204"/>
      <c r="ER204">
        <v>227</v>
      </c>
      <c r="ES204"/>
      <c r="ET204"/>
      <c r="EU204"/>
      <c r="EV204" s="439">
        <v>731</v>
      </c>
      <c r="EW204" t="s">
        <v>2486</v>
      </c>
      <c r="EX204" t="s">
        <v>822</v>
      </c>
      <c r="EY204" t="s">
        <v>2487</v>
      </c>
      <c r="EZ204" t="s">
        <v>54</v>
      </c>
      <c r="FA204">
        <v>55121</v>
      </c>
      <c r="FB204">
        <v>1053344788</v>
      </c>
    </row>
    <row r="205" spans="1:158" x14ac:dyDescent="0.2">
      <c r="A205" s="439">
        <v>558</v>
      </c>
      <c r="B205" t="s">
        <v>2009</v>
      </c>
      <c r="C205" t="s">
        <v>1996</v>
      </c>
      <c r="D205" t="s">
        <v>2010</v>
      </c>
      <c r="E205" t="s">
        <v>749</v>
      </c>
      <c r="F205" t="s">
        <v>744</v>
      </c>
      <c r="G205" t="s">
        <v>54</v>
      </c>
      <c r="H205" s="576">
        <v>55443</v>
      </c>
      <c r="I205"/>
      <c r="J205" t="s">
        <v>2011</v>
      </c>
      <c r="K205" t="s">
        <v>2012</v>
      </c>
      <c r="L205" t="s">
        <v>967</v>
      </c>
      <c r="M205" t="s">
        <v>744</v>
      </c>
      <c r="N205" t="s">
        <v>54</v>
      </c>
      <c r="O205" s="576">
        <v>55435</v>
      </c>
      <c r="P205"/>
      <c r="Q205">
        <v>6122063973</v>
      </c>
      <c r="R205">
        <v>6122063974</v>
      </c>
      <c r="S205" t="s">
        <v>2013</v>
      </c>
      <c r="T205" t="s">
        <v>2014</v>
      </c>
      <c r="U205" t="s">
        <v>2015</v>
      </c>
      <c r="V205" t="s">
        <v>2016</v>
      </c>
      <c r="W205" t="s">
        <v>2017</v>
      </c>
      <c r="X205" t="s">
        <v>2013</v>
      </c>
      <c r="Y205" t="s">
        <v>2014</v>
      </c>
      <c r="Z205" t="s">
        <v>2015</v>
      </c>
      <c r="AA205" t="s">
        <v>2009</v>
      </c>
      <c r="AB205">
        <v>6122063973</v>
      </c>
      <c r="AC205"/>
      <c r="AD205">
        <v>6122063974</v>
      </c>
      <c r="AE205" t="s">
        <v>2016</v>
      </c>
      <c r="AF205" t="s">
        <v>2011</v>
      </c>
      <c r="AG205" t="s">
        <v>2012</v>
      </c>
      <c r="AH205" t="s">
        <v>967</v>
      </c>
      <c r="AI205" t="s">
        <v>744</v>
      </c>
      <c r="AJ205" t="s">
        <v>54</v>
      </c>
      <c r="AK205" s="576">
        <v>55435</v>
      </c>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t="s">
        <v>2013</v>
      </c>
      <c r="BR205" t="s">
        <v>2014</v>
      </c>
      <c r="BS205" t="s">
        <v>2015</v>
      </c>
      <c r="BT205" t="s">
        <v>2009</v>
      </c>
      <c r="BU205">
        <v>6122063973</v>
      </c>
      <c r="BV205"/>
      <c r="BW205">
        <v>6122063974</v>
      </c>
      <c r="BX205" t="s">
        <v>2016</v>
      </c>
      <c r="BY205" t="s">
        <v>2011</v>
      </c>
      <c r="BZ205" t="s">
        <v>2012</v>
      </c>
      <c r="CA205" t="s">
        <v>967</v>
      </c>
      <c r="CB205" t="s">
        <v>744</v>
      </c>
      <c r="CC205" t="s">
        <v>54</v>
      </c>
      <c r="CD205" s="576">
        <v>55435</v>
      </c>
      <c r="CE205"/>
      <c r="CF205" t="s">
        <v>2018</v>
      </c>
      <c r="CG205" t="s">
        <v>733</v>
      </c>
      <c r="CH205"/>
      <c r="CI205"/>
      <c r="CJ205"/>
      <c r="CK205"/>
      <c r="CL205"/>
      <c r="CM205">
        <v>1073819918</v>
      </c>
      <c r="CN205">
        <v>3137</v>
      </c>
      <c r="CO205">
        <v>633</v>
      </c>
      <c r="CP205"/>
      <c r="CQ205"/>
      <c r="CR205">
        <v>633</v>
      </c>
      <c r="CS205" t="s">
        <v>788</v>
      </c>
      <c r="CT205">
        <v>12</v>
      </c>
      <c r="CU205"/>
      <c r="CV205"/>
      <c r="CW205"/>
      <c r="CX205"/>
      <c r="CY205"/>
      <c r="CZ205"/>
      <c r="DA205"/>
      <c r="DB205"/>
      <c r="DC205"/>
      <c r="DD205"/>
      <c r="DE205"/>
      <c r="DF205"/>
      <c r="DG205"/>
      <c r="DH205"/>
      <c r="DI205"/>
      <c r="DJ205"/>
      <c r="DK205"/>
      <c r="DL205">
        <v>132</v>
      </c>
      <c r="DM205" t="s">
        <v>1163</v>
      </c>
      <c r="DN205"/>
      <c r="DO205"/>
      <c r="DP205"/>
      <c r="DQ205"/>
      <c r="DR205"/>
      <c r="DS205"/>
      <c r="DT205"/>
      <c r="DU205"/>
      <c r="DV205"/>
      <c r="DW205"/>
      <c r="DX205"/>
      <c r="DY205"/>
      <c r="DZ205"/>
      <c r="EA205"/>
      <c r="EB205"/>
      <c r="EC205"/>
      <c r="ED205"/>
      <c r="EE205"/>
      <c r="EF205"/>
      <c r="EG205"/>
      <c r="EH205"/>
      <c r="EI205"/>
      <c r="EJ205"/>
      <c r="EK205"/>
      <c r="EL205"/>
      <c r="EM205"/>
      <c r="EN205"/>
      <c r="EO205"/>
      <c r="EP205"/>
      <c r="EQ205"/>
      <c r="ER205">
        <v>0</v>
      </c>
      <c r="ES205"/>
      <c r="ET205"/>
      <c r="EU205"/>
      <c r="EV205" s="439">
        <v>777</v>
      </c>
      <c r="EW205" t="s">
        <v>2531</v>
      </c>
      <c r="EX205" t="s">
        <v>822</v>
      </c>
      <c r="EY205" t="s">
        <v>2532</v>
      </c>
      <c r="EZ205" t="s">
        <v>54</v>
      </c>
      <c r="FA205">
        <v>55121</v>
      </c>
      <c r="FB205">
        <v>1306899463</v>
      </c>
    </row>
    <row r="206" spans="1:158" x14ac:dyDescent="0.2">
      <c r="A206" s="439">
        <v>528</v>
      </c>
      <c r="B206" t="s">
        <v>2019</v>
      </c>
      <c r="C206" t="s">
        <v>950</v>
      </c>
      <c r="D206" t="s">
        <v>951</v>
      </c>
      <c r="E206"/>
      <c r="F206" t="s">
        <v>952</v>
      </c>
      <c r="G206" t="s">
        <v>54</v>
      </c>
      <c r="H206" s="576">
        <v>55057</v>
      </c>
      <c r="I206" s="576">
        <v>3081</v>
      </c>
      <c r="J206" t="s">
        <v>900</v>
      </c>
      <c r="K206" t="s">
        <v>2020</v>
      </c>
      <c r="L206" t="s">
        <v>901</v>
      </c>
      <c r="M206" t="s">
        <v>744</v>
      </c>
      <c r="N206" t="s">
        <v>54</v>
      </c>
      <c r="O206" s="576">
        <v>55407</v>
      </c>
      <c r="P206"/>
      <c r="Q206">
        <v>6128636175</v>
      </c>
      <c r="R206">
        <v>6128638887</v>
      </c>
      <c r="S206" t="s">
        <v>2021</v>
      </c>
      <c r="T206" t="s">
        <v>2022</v>
      </c>
      <c r="U206" t="s">
        <v>904</v>
      </c>
      <c r="V206" t="s">
        <v>2023</v>
      </c>
      <c r="W206" t="s">
        <v>2024</v>
      </c>
      <c r="X206" t="s">
        <v>2025</v>
      </c>
      <c r="Y206" t="s">
        <v>2026</v>
      </c>
      <c r="Z206" t="s">
        <v>2027</v>
      </c>
      <c r="AA206" t="s">
        <v>2028</v>
      </c>
      <c r="AB206">
        <v>6125732233</v>
      </c>
      <c r="AC206"/>
      <c r="AD206">
        <v>6125732250</v>
      </c>
      <c r="AE206" t="s">
        <v>2029</v>
      </c>
      <c r="AF206" t="s">
        <v>2030</v>
      </c>
      <c r="AG206" t="s">
        <v>749</v>
      </c>
      <c r="AH206" t="s">
        <v>892</v>
      </c>
      <c r="AI206" t="s">
        <v>744</v>
      </c>
      <c r="AJ206" t="s">
        <v>54</v>
      </c>
      <c r="AK206" s="576">
        <v>55344</v>
      </c>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t="s">
        <v>2031</v>
      </c>
      <c r="CH206" t="s">
        <v>141</v>
      </c>
      <c r="CI206" t="s">
        <v>907</v>
      </c>
      <c r="CJ206" t="s">
        <v>141</v>
      </c>
      <c r="CK206"/>
      <c r="CL206"/>
      <c r="CM206"/>
      <c r="CN206">
        <v>424</v>
      </c>
      <c r="CO206">
        <v>150</v>
      </c>
      <c r="CP206"/>
      <c r="CQ206"/>
      <c r="CR206"/>
      <c r="CS206" t="s">
        <v>788</v>
      </c>
      <c r="CT206">
        <v>12</v>
      </c>
      <c r="CU206"/>
      <c r="CV206"/>
      <c r="CW206"/>
      <c r="CX206"/>
      <c r="CY206"/>
      <c r="CZ206"/>
      <c r="DA206"/>
      <c r="DB206"/>
      <c r="DC206"/>
      <c r="DD206"/>
      <c r="DE206"/>
      <c r="DF206"/>
      <c r="DG206"/>
      <c r="DH206"/>
      <c r="DI206"/>
      <c r="DJ206"/>
      <c r="DK206"/>
      <c r="DL206"/>
      <c r="DM206"/>
      <c r="DN206"/>
      <c r="DO206"/>
      <c r="DP206"/>
      <c r="DQ206"/>
      <c r="DR206"/>
      <c r="DS206"/>
      <c r="DT206"/>
      <c r="DU206"/>
      <c r="DV206"/>
      <c r="DW206"/>
      <c r="DX206"/>
      <c r="DY206"/>
      <c r="DZ206"/>
      <c r="EA206"/>
      <c r="EB206"/>
      <c r="EC206"/>
      <c r="ED206"/>
      <c r="EE206"/>
      <c r="EF206"/>
      <c r="EG206"/>
      <c r="EH206"/>
      <c r="EI206"/>
      <c r="EJ206"/>
      <c r="EK206"/>
      <c r="EL206"/>
      <c r="EM206"/>
      <c r="EN206"/>
      <c r="EO206"/>
      <c r="EP206"/>
      <c r="EQ206"/>
      <c r="ER206">
        <v>58</v>
      </c>
      <c r="ES206">
        <v>2</v>
      </c>
      <c r="ET206"/>
      <c r="EU206"/>
      <c r="EV206" s="439">
        <v>1376</v>
      </c>
      <c r="EW206" t="s">
        <v>2614</v>
      </c>
      <c r="EX206" t="s">
        <v>822</v>
      </c>
      <c r="EY206" t="s">
        <v>2615</v>
      </c>
      <c r="EZ206" t="s">
        <v>54</v>
      </c>
      <c r="FA206">
        <v>55121</v>
      </c>
      <c r="FB206">
        <v>1164474250</v>
      </c>
    </row>
    <row r="207" spans="1:158" x14ac:dyDescent="0.2">
      <c r="A207" s="439">
        <v>1064</v>
      </c>
      <c r="B207" t="s">
        <v>2032</v>
      </c>
      <c r="C207" t="s">
        <v>1384</v>
      </c>
      <c r="D207" t="s">
        <v>2033</v>
      </c>
      <c r="E207"/>
      <c r="F207" t="s">
        <v>952</v>
      </c>
      <c r="G207" t="s">
        <v>54</v>
      </c>
      <c r="H207" s="576">
        <v>55021</v>
      </c>
      <c r="I207"/>
      <c r="J207" t="s">
        <v>900</v>
      </c>
      <c r="K207" t="s">
        <v>2020</v>
      </c>
      <c r="L207" t="s">
        <v>901</v>
      </c>
      <c r="M207" t="s">
        <v>744</v>
      </c>
      <c r="N207" t="s">
        <v>54</v>
      </c>
      <c r="O207" s="576">
        <v>55407</v>
      </c>
      <c r="P207"/>
      <c r="Q207">
        <v>6128636175</v>
      </c>
      <c r="R207">
        <v>6128638887</v>
      </c>
      <c r="S207" t="s">
        <v>2021</v>
      </c>
      <c r="T207" t="s">
        <v>2022</v>
      </c>
      <c r="U207" t="s">
        <v>904</v>
      </c>
      <c r="V207" t="s">
        <v>2023</v>
      </c>
      <c r="W207" t="s">
        <v>2024</v>
      </c>
      <c r="X207" t="s">
        <v>2025</v>
      </c>
      <c r="Y207" t="s">
        <v>2026</v>
      </c>
      <c r="Z207" t="s">
        <v>2027</v>
      </c>
      <c r="AA207" t="s">
        <v>2028</v>
      </c>
      <c r="AB207">
        <v>6125732233</v>
      </c>
      <c r="AC207"/>
      <c r="AD207">
        <v>6125732250</v>
      </c>
      <c r="AE207" t="s">
        <v>2029</v>
      </c>
      <c r="AF207" t="s">
        <v>2030</v>
      </c>
      <c r="AG207" t="s">
        <v>749</v>
      </c>
      <c r="AH207" t="s">
        <v>892</v>
      </c>
      <c r="AI207" t="s">
        <v>744</v>
      </c>
      <c r="AJ207" t="s">
        <v>54</v>
      </c>
      <c r="AK207" s="576">
        <v>55344</v>
      </c>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c r="CE207"/>
      <c r="CF207"/>
      <c r="CG207" t="s">
        <v>2031</v>
      </c>
      <c r="CH207" t="s">
        <v>141</v>
      </c>
      <c r="CI207" t="s">
        <v>907</v>
      </c>
      <c r="CJ207" t="s">
        <v>141</v>
      </c>
      <c r="CK207"/>
      <c r="CL207"/>
      <c r="CM207">
        <v>1356458475</v>
      </c>
      <c r="CN207">
        <v>424</v>
      </c>
      <c r="CO207">
        <v>150</v>
      </c>
      <c r="CP207"/>
      <c r="CQ207"/>
      <c r="CR207"/>
      <c r="CS207" t="s">
        <v>788</v>
      </c>
      <c r="CT207">
        <v>12</v>
      </c>
      <c r="CU207"/>
      <c r="CV207"/>
      <c r="CW207"/>
      <c r="CX207"/>
      <c r="CY207"/>
      <c r="CZ207"/>
      <c r="DA207"/>
      <c r="DB207"/>
      <c r="DC207"/>
      <c r="DD207"/>
      <c r="DE207"/>
      <c r="DF207"/>
      <c r="DG207"/>
      <c r="DH207"/>
      <c r="DI207"/>
      <c r="DJ207"/>
      <c r="DK207"/>
      <c r="DL207"/>
      <c r="DM207"/>
      <c r="DN207"/>
      <c r="DO207"/>
      <c r="DP207"/>
      <c r="DQ207"/>
      <c r="DR207"/>
      <c r="DS207"/>
      <c r="DT207"/>
      <c r="DU207"/>
      <c r="DV207"/>
      <c r="DW207"/>
      <c r="DX207"/>
      <c r="DY207"/>
      <c r="DZ207"/>
      <c r="EA207"/>
      <c r="EB207"/>
      <c r="EC207"/>
      <c r="ED207"/>
      <c r="EE207"/>
      <c r="EF207"/>
      <c r="EG207"/>
      <c r="EH207"/>
      <c r="EI207"/>
      <c r="EJ207"/>
      <c r="EK207"/>
      <c r="EL207"/>
      <c r="EM207"/>
      <c r="EN207"/>
      <c r="EO207"/>
      <c r="EP207"/>
      <c r="EQ207"/>
      <c r="ER207">
        <v>58</v>
      </c>
      <c r="ES207">
        <v>2</v>
      </c>
      <c r="ET207"/>
      <c r="EU207"/>
      <c r="EV207" s="439">
        <v>601</v>
      </c>
      <c r="EW207" t="s">
        <v>2632</v>
      </c>
      <c r="EX207" t="s">
        <v>822</v>
      </c>
      <c r="EY207" t="s">
        <v>2633</v>
      </c>
      <c r="EZ207" t="s">
        <v>54</v>
      </c>
      <c r="FA207">
        <v>55121</v>
      </c>
      <c r="FB207">
        <v>1407102882</v>
      </c>
    </row>
    <row r="208" spans="1:158" s="433" customFormat="1" x14ac:dyDescent="0.2">
      <c r="A208" s="439">
        <v>582</v>
      </c>
      <c r="B208" t="s">
        <v>2034</v>
      </c>
      <c r="C208" t="s">
        <v>2035</v>
      </c>
      <c r="D208" t="s">
        <v>2036</v>
      </c>
      <c r="E208"/>
      <c r="F208" t="s">
        <v>1291</v>
      </c>
      <c r="G208" t="s">
        <v>54</v>
      </c>
      <c r="H208" s="576">
        <v>55336</v>
      </c>
      <c r="I208" s="576">
        <v>1416</v>
      </c>
      <c r="J208" t="s">
        <v>900</v>
      </c>
      <c r="K208" t="s">
        <v>2020</v>
      </c>
      <c r="L208" t="s">
        <v>901</v>
      </c>
      <c r="M208" t="s">
        <v>744</v>
      </c>
      <c r="N208" t="s">
        <v>54</v>
      </c>
      <c r="O208" s="576">
        <v>55407</v>
      </c>
      <c r="P208"/>
      <c r="Q208">
        <v>6128636175</v>
      </c>
      <c r="R208">
        <v>6128638887</v>
      </c>
      <c r="S208" t="s">
        <v>2021</v>
      </c>
      <c r="T208" t="s">
        <v>2022</v>
      </c>
      <c r="U208" t="s">
        <v>904</v>
      </c>
      <c r="V208" t="s">
        <v>2023</v>
      </c>
      <c r="W208" t="s">
        <v>2024</v>
      </c>
      <c r="X208" t="s">
        <v>2025</v>
      </c>
      <c r="Y208" t="s">
        <v>2026</v>
      </c>
      <c r="Z208" t="s">
        <v>2027</v>
      </c>
      <c r="AA208" t="s">
        <v>2028</v>
      </c>
      <c r="AB208">
        <v>6125732233</v>
      </c>
      <c r="AC208"/>
      <c r="AD208">
        <v>6125732250</v>
      </c>
      <c r="AE208" t="s">
        <v>2029</v>
      </c>
      <c r="AF208" t="s">
        <v>2030</v>
      </c>
      <c r="AG208" t="s">
        <v>749</v>
      </c>
      <c r="AH208" t="s">
        <v>892</v>
      </c>
      <c r="AI208" t="s">
        <v>744</v>
      </c>
      <c r="AJ208" t="s">
        <v>54</v>
      </c>
      <c r="AK208" s="576">
        <v>55344</v>
      </c>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c r="BS208"/>
      <c r="BT208"/>
      <c r="BU208"/>
      <c r="BV208"/>
      <c r="BW208"/>
      <c r="BX208"/>
      <c r="BY208"/>
      <c r="BZ208"/>
      <c r="CA208"/>
      <c r="CB208"/>
      <c r="CC208"/>
      <c r="CD208"/>
      <c r="CE208"/>
      <c r="CF208"/>
      <c r="CG208" t="s">
        <v>2031</v>
      </c>
      <c r="CH208" t="s">
        <v>141</v>
      </c>
      <c r="CI208" t="s">
        <v>907</v>
      </c>
      <c r="CJ208" t="s">
        <v>141</v>
      </c>
      <c r="CK208"/>
      <c r="CL208"/>
      <c r="CM208"/>
      <c r="CN208">
        <v>424</v>
      </c>
      <c r="CO208">
        <v>150</v>
      </c>
      <c r="CP208"/>
      <c r="CQ208"/>
      <c r="CR208"/>
      <c r="CS208" t="s">
        <v>788</v>
      </c>
      <c r="CT208">
        <v>12</v>
      </c>
      <c r="CU208"/>
      <c r="CV208"/>
      <c r="CW208"/>
      <c r="CX208"/>
      <c r="CY208"/>
      <c r="CZ208"/>
      <c r="DA208"/>
      <c r="DB208"/>
      <c r="DC208"/>
      <c r="DD208"/>
      <c r="DE208"/>
      <c r="DF208"/>
      <c r="DG208"/>
      <c r="DH208"/>
      <c r="DI208"/>
      <c r="DJ208"/>
      <c r="DK208"/>
      <c r="DL208"/>
      <c r="DM208"/>
      <c r="DN208"/>
      <c r="DO208"/>
      <c r="DP208"/>
      <c r="DQ208"/>
      <c r="DR208"/>
      <c r="DS208"/>
      <c r="DT208"/>
      <c r="DU208"/>
      <c r="DV208"/>
      <c r="DW208"/>
      <c r="DX208"/>
      <c r="DY208"/>
      <c r="DZ208"/>
      <c r="EA208"/>
      <c r="EB208"/>
      <c r="EC208"/>
      <c r="ED208"/>
      <c r="EE208"/>
      <c r="EF208"/>
      <c r="EG208"/>
      <c r="EH208"/>
      <c r="EI208"/>
      <c r="EJ208"/>
      <c r="EK208"/>
      <c r="EL208"/>
      <c r="EM208"/>
      <c r="EN208"/>
      <c r="EO208"/>
      <c r="EP208"/>
      <c r="EQ208"/>
      <c r="ER208">
        <v>58</v>
      </c>
      <c r="ES208">
        <v>2</v>
      </c>
      <c r="ET208"/>
      <c r="EU208"/>
      <c r="EV208" s="439">
        <v>679</v>
      </c>
      <c r="EW208" t="s">
        <v>2321</v>
      </c>
      <c r="EX208" t="s">
        <v>2322</v>
      </c>
      <c r="EY208" t="s">
        <v>2323</v>
      </c>
      <c r="EZ208" t="s">
        <v>54</v>
      </c>
      <c r="FA208">
        <v>56721</v>
      </c>
      <c r="FB208">
        <v>1437355393</v>
      </c>
    </row>
    <row r="209" spans="1:158" s="433" customFormat="1" x14ac:dyDescent="0.2">
      <c r="A209" s="439">
        <v>527</v>
      </c>
      <c r="B209" t="s">
        <v>2037</v>
      </c>
      <c r="C209" t="s">
        <v>2038</v>
      </c>
      <c r="D209" t="s">
        <v>2039</v>
      </c>
      <c r="E209"/>
      <c r="F209" t="s">
        <v>1370</v>
      </c>
      <c r="G209" t="s">
        <v>54</v>
      </c>
      <c r="H209" s="576">
        <v>56073</v>
      </c>
      <c r="I209" s="576">
        <v>577</v>
      </c>
      <c r="J209" t="s">
        <v>900</v>
      </c>
      <c r="K209" t="s">
        <v>2020</v>
      </c>
      <c r="L209" t="s">
        <v>901</v>
      </c>
      <c r="M209" t="s">
        <v>744</v>
      </c>
      <c r="N209" t="s">
        <v>54</v>
      </c>
      <c r="O209" s="576">
        <v>55407</v>
      </c>
      <c r="P209"/>
      <c r="Q209">
        <v>6128636175</v>
      </c>
      <c r="R209">
        <v>6128638887</v>
      </c>
      <c r="S209" t="s">
        <v>2021</v>
      </c>
      <c r="T209" t="s">
        <v>2022</v>
      </c>
      <c r="U209" t="s">
        <v>904</v>
      </c>
      <c r="V209" t="s">
        <v>2023</v>
      </c>
      <c r="W209" t="s">
        <v>2024</v>
      </c>
      <c r="X209" t="s">
        <v>2025</v>
      </c>
      <c r="Y209" t="s">
        <v>2026</v>
      </c>
      <c r="Z209" t="s">
        <v>2027</v>
      </c>
      <c r="AA209" t="s">
        <v>2028</v>
      </c>
      <c r="AB209">
        <v>6125732233</v>
      </c>
      <c r="AC209"/>
      <c r="AD209">
        <v>6125732250</v>
      </c>
      <c r="AE209" t="s">
        <v>2029</v>
      </c>
      <c r="AF209" t="s">
        <v>2030</v>
      </c>
      <c r="AG209" t="s">
        <v>749</v>
      </c>
      <c r="AH209" t="s">
        <v>892</v>
      </c>
      <c r="AI209" t="s">
        <v>744</v>
      </c>
      <c r="AJ209" t="s">
        <v>54</v>
      </c>
      <c r="AK209" s="576">
        <v>55344</v>
      </c>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c r="CE209"/>
      <c r="CF209"/>
      <c r="CG209" t="s">
        <v>2031</v>
      </c>
      <c r="CH209" t="s">
        <v>141</v>
      </c>
      <c r="CI209" t="s">
        <v>907</v>
      </c>
      <c r="CJ209" t="s">
        <v>141</v>
      </c>
      <c r="CK209"/>
      <c r="CL209"/>
      <c r="CM209"/>
      <c r="CN209">
        <v>424</v>
      </c>
      <c r="CO209">
        <v>150</v>
      </c>
      <c r="CP209"/>
      <c r="CQ209"/>
      <c r="CR209"/>
      <c r="CS209" t="s">
        <v>788</v>
      </c>
      <c r="CT209">
        <v>12</v>
      </c>
      <c r="CU209"/>
      <c r="CV209"/>
      <c r="CW209"/>
      <c r="CX209"/>
      <c r="CY209"/>
      <c r="CZ209"/>
      <c r="DA209"/>
      <c r="DB209"/>
      <c r="DC209"/>
      <c r="DD209"/>
      <c r="DE209"/>
      <c r="DF209"/>
      <c r="DG209"/>
      <c r="DH209"/>
      <c r="DI209"/>
      <c r="DJ209"/>
      <c r="DK209"/>
      <c r="DL209"/>
      <c r="DM209"/>
      <c r="DN209"/>
      <c r="DO209"/>
      <c r="DP209"/>
      <c r="DQ209"/>
      <c r="DR209"/>
      <c r="DS209"/>
      <c r="DT209"/>
      <c r="DU209"/>
      <c r="DV209"/>
      <c r="DW209"/>
      <c r="DX209"/>
      <c r="DY209"/>
      <c r="DZ209"/>
      <c r="EA209"/>
      <c r="EB209"/>
      <c r="EC209"/>
      <c r="ED209"/>
      <c r="EE209"/>
      <c r="EF209"/>
      <c r="EG209"/>
      <c r="EH209"/>
      <c r="EI209"/>
      <c r="EJ209"/>
      <c r="EK209"/>
      <c r="EL209"/>
      <c r="EM209"/>
      <c r="EN209"/>
      <c r="EO209"/>
      <c r="EP209"/>
      <c r="EQ209"/>
      <c r="ER209">
        <v>58</v>
      </c>
      <c r="ES209">
        <v>2</v>
      </c>
      <c r="ET209"/>
      <c r="EU209"/>
      <c r="EV209" s="439">
        <v>1457</v>
      </c>
      <c r="EW209" t="s">
        <v>891</v>
      </c>
      <c r="EX209" t="s">
        <v>892</v>
      </c>
      <c r="EY209" t="s">
        <v>893</v>
      </c>
      <c r="EZ209" t="s">
        <v>54</v>
      </c>
      <c r="FA209">
        <v>55344</v>
      </c>
      <c r="FB209">
        <v>1679707632</v>
      </c>
    </row>
    <row r="210" spans="1:158" x14ac:dyDescent="0.2">
      <c r="A210" s="439">
        <v>748</v>
      </c>
      <c r="B210" t="s">
        <v>2040</v>
      </c>
      <c r="C210" t="s">
        <v>798</v>
      </c>
      <c r="D210" t="s">
        <v>2041</v>
      </c>
      <c r="E210"/>
      <c r="F210" t="s">
        <v>801</v>
      </c>
      <c r="G210" t="s">
        <v>54</v>
      </c>
      <c r="H210" s="576">
        <v>55434</v>
      </c>
      <c r="I210"/>
      <c r="J210" t="s">
        <v>2042</v>
      </c>
      <c r="K210" t="s">
        <v>831</v>
      </c>
      <c r="L210" t="s">
        <v>2043</v>
      </c>
      <c r="M210" t="s">
        <v>744</v>
      </c>
      <c r="N210" t="s">
        <v>54</v>
      </c>
      <c r="O210" s="576">
        <v>55435</v>
      </c>
      <c r="P210"/>
      <c r="Q210">
        <v>6128791000</v>
      </c>
      <c r="R210">
        <v>6128742184</v>
      </c>
      <c r="S210" t="s">
        <v>2044</v>
      </c>
      <c r="T210" t="s">
        <v>2045</v>
      </c>
      <c r="U210" t="s">
        <v>1957</v>
      </c>
      <c r="V210" t="s">
        <v>2046</v>
      </c>
      <c r="W210" t="s">
        <v>2047</v>
      </c>
      <c r="X210" t="s">
        <v>1714</v>
      </c>
      <c r="Y210" t="s">
        <v>2048</v>
      </c>
      <c r="Z210" t="s">
        <v>1456</v>
      </c>
      <c r="AA210" t="s">
        <v>2040</v>
      </c>
      <c r="AB210">
        <v>6128791592</v>
      </c>
      <c r="AC210"/>
      <c r="AD210">
        <v>6128791629</v>
      </c>
      <c r="AE210" t="s">
        <v>2049</v>
      </c>
      <c r="AF210" t="s">
        <v>2042</v>
      </c>
      <c r="AG210" t="s">
        <v>831</v>
      </c>
      <c r="AH210" t="s">
        <v>2043</v>
      </c>
      <c r="AI210" t="s">
        <v>744</v>
      </c>
      <c r="AJ210" t="s">
        <v>54</v>
      </c>
      <c r="AK210" s="576">
        <v>55435</v>
      </c>
      <c r="AL210"/>
      <c r="AM210" t="s">
        <v>2050</v>
      </c>
      <c r="AN210" t="s">
        <v>2051</v>
      </c>
      <c r="AO210" t="s">
        <v>751</v>
      </c>
      <c r="AP210" t="s">
        <v>2052</v>
      </c>
      <c r="AQ210">
        <v>6128742180</v>
      </c>
      <c r="AR210"/>
      <c r="AS210"/>
      <c r="AT210" t="s">
        <v>2053</v>
      </c>
      <c r="AU210" t="s">
        <v>2042</v>
      </c>
      <c r="AV210" t="s">
        <v>831</v>
      </c>
      <c r="AW210" t="s">
        <v>2043</v>
      </c>
      <c r="AX210" t="s">
        <v>744</v>
      </c>
      <c r="AY210" t="s">
        <v>54</v>
      </c>
      <c r="AZ210" s="576">
        <v>55435</v>
      </c>
      <c r="BA210"/>
      <c r="BB210"/>
      <c r="BC210"/>
      <c r="BD210"/>
      <c r="BE210"/>
      <c r="BF210"/>
      <c r="BG210"/>
      <c r="BH210"/>
      <c r="BI210"/>
      <c r="BJ210"/>
      <c r="BK210"/>
      <c r="BL210"/>
      <c r="BM210"/>
      <c r="BN210"/>
      <c r="BO210"/>
      <c r="BP210"/>
      <c r="BQ210" t="s">
        <v>1714</v>
      </c>
      <c r="BR210" t="s">
        <v>2048</v>
      </c>
      <c r="BS210" t="s">
        <v>1456</v>
      </c>
      <c r="BT210" t="s">
        <v>2040</v>
      </c>
      <c r="BU210">
        <v>6128791592</v>
      </c>
      <c r="BV210"/>
      <c r="BW210">
        <v>6128791629</v>
      </c>
      <c r="BX210" t="s">
        <v>2049</v>
      </c>
      <c r="BY210" t="s">
        <v>2042</v>
      </c>
      <c r="BZ210" t="s">
        <v>831</v>
      </c>
      <c r="CA210" t="s">
        <v>2043</v>
      </c>
      <c r="CB210" t="s">
        <v>744</v>
      </c>
      <c r="CC210" t="s">
        <v>54</v>
      </c>
      <c r="CD210" s="576">
        <v>55435</v>
      </c>
      <c r="CE210"/>
      <c r="CF210" t="s">
        <v>2054</v>
      </c>
      <c r="CG210" t="s">
        <v>2052</v>
      </c>
      <c r="CH210" t="s">
        <v>141</v>
      </c>
      <c r="CI210"/>
      <c r="CJ210"/>
      <c r="CK210"/>
      <c r="CL210"/>
      <c r="CM210">
        <v>1710098306</v>
      </c>
      <c r="CN210">
        <v>192</v>
      </c>
      <c r="CO210">
        <v>193</v>
      </c>
      <c r="CP210">
        <v>16</v>
      </c>
      <c r="CQ210"/>
      <c r="CR210">
        <v>193</v>
      </c>
      <c r="CS210" t="s">
        <v>788</v>
      </c>
      <c r="CT210">
        <v>12</v>
      </c>
      <c r="CU210">
        <v>175</v>
      </c>
      <c r="CV210"/>
      <c r="CW210"/>
      <c r="CX210"/>
      <c r="CY210"/>
      <c r="CZ210"/>
      <c r="DA210"/>
      <c r="DB210"/>
      <c r="DC210"/>
      <c r="DD210">
        <v>128</v>
      </c>
      <c r="DE210" t="s">
        <v>2055</v>
      </c>
      <c r="DF210"/>
      <c r="DG210"/>
      <c r="DH210"/>
      <c r="DI210"/>
      <c r="DJ210"/>
      <c r="DK210"/>
      <c r="DL210"/>
      <c r="DM210"/>
      <c r="DN210"/>
      <c r="DO210"/>
      <c r="DP210"/>
      <c r="DQ210"/>
      <c r="DR210"/>
      <c r="DS210"/>
      <c r="DT210"/>
      <c r="DU210"/>
      <c r="DV210"/>
      <c r="DW210"/>
      <c r="DX210"/>
      <c r="DY210"/>
      <c r="DZ210"/>
      <c r="EA210"/>
      <c r="EB210"/>
      <c r="EC210"/>
      <c r="ED210"/>
      <c r="EE210"/>
      <c r="EF210"/>
      <c r="EG210"/>
      <c r="EH210"/>
      <c r="EI210"/>
      <c r="EJ210"/>
      <c r="EK210"/>
      <c r="EL210"/>
      <c r="EM210"/>
      <c r="EN210"/>
      <c r="EO210"/>
      <c r="EP210"/>
      <c r="EQ210"/>
      <c r="ER210">
        <v>88</v>
      </c>
      <c r="ES210"/>
      <c r="ET210"/>
      <c r="EU210"/>
      <c r="EV210" s="439">
        <v>1036</v>
      </c>
      <c r="EW210" t="s">
        <v>2885</v>
      </c>
      <c r="EX210" t="s">
        <v>892</v>
      </c>
      <c r="EY210" t="s">
        <v>2886</v>
      </c>
      <c r="EZ210" t="s">
        <v>54</v>
      </c>
      <c r="FA210">
        <v>55344</v>
      </c>
      <c r="FB210">
        <v>1457495491</v>
      </c>
    </row>
    <row r="211" spans="1:158" x14ac:dyDescent="0.2">
      <c r="A211" s="439">
        <v>1475</v>
      </c>
      <c r="B211" t="s">
        <v>2040</v>
      </c>
      <c r="C211" t="s">
        <v>2043</v>
      </c>
      <c r="D211" t="s">
        <v>2042</v>
      </c>
      <c r="E211" t="s">
        <v>831</v>
      </c>
      <c r="F211" t="s">
        <v>744</v>
      </c>
      <c r="G211" t="s">
        <v>54</v>
      </c>
      <c r="H211" s="576">
        <v>55435</v>
      </c>
      <c r="I211"/>
      <c r="J211" t="s">
        <v>2042</v>
      </c>
      <c r="K211" t="s">
        <v>831</v>
      </c>
      <c r="L211" t="s">
        <v>2043</v>
      </c>
      <c r="M211" t="s">
        <v>744</v>
      </c>
      <c r="N211" t="s">
        <v>54</v>
      </c>
      <c r="O211" s="576">
        <v>55435</v>
      </c>
      <c r="P211"/>
      <c r="Q211">
        <v>6128791000</v>
      </c>
      <c r="R211">
        <v>6128790722</v>
      </c>
      <c r="S211" t="s">
        <v>2044</v>
      </c>
      <c r="T211" t="s">
        <v>2045</v>
      </c>
      <c r="U211" t="s">
        <v>1957</v>
      </c>
      <c r="V211" t="s">
        <v>2046</v>
      </c>
      <c r="W211" t="s">
        <v>2047</v>
      </c>
      <c r="X211" t="s">
        <v>1714</v>
      </c>
      <c r="Y211" t="s">
        <v>2048</v>
      </c>
      <c r="Z211" t="s">
        <v>1456</v>
      </c>
      <c r="AA211" t="s">
        <v>2040</v>
      </c>
      <c r="AB211">
        <v>6128791592</v>
      </c>
      <c r="AC211"/>
      <c r="AD211">
        <v>6128791629</v>
      </c>
      <c r="AE211" t="s">
        <v>2049</v>
      </c>
      <c r="AF211" t="s">
        <v>2042</v>
      </c>
      <c r="AG211" t="s">
        <v>831</v>
      </c>
      <c r="AH211" t="s">
        <v>2043</v>
      </c>
      <c r="AI211" t="s">
        <v>744</v>
      </c>
      <c r="AJ211" t="s">
        <v>54</v>
      </c>
      <c r="AK211" s="576">
        <v>55435</v>
      </c>
      <c r="AL211"/>
      <c r="AM211" t="s">
        <v>2050</v>
      </c>
      <c r="AN211" t="s">
        <v>2051</v>
      </c>
      <c r="AO211" t="s">
        <v>751</v>
      </c>
      <c r="AP211" t="s">
        <v>2052</v>
      </c>
      <c r="AQ211">
        <v>6128742180</v>
      </c>
      <c r="AR211"/>
      <c r="AS211"/>
      <c r="AT211" t="s">
        <v>2053</v>
      </c>
      <c r="AU211" t="s">
        <v>2042</v>
      </c>
      <c r="AV211" t="s">
        <v>831</v>
      </c>
      <c r="AW211" t="s">
        <v>2043</v>
      </c>
      <c r="AX211" t="s">
        <v>744</v>
      </c>
      <c r="AY211" t="s">
        <v>54</v>
      </c>
      <c r="AZ211" s="576">
        <v>55435</v>
      </c>
      <c r="BA211"/>
      <c r="BB211"/>
      <c r="BC211"/>
      <c r="BD211"/>
      <c r="BE211"/>
      <c r="BF211"/>
      <c r="BG211"/>
      <c r="BH211"/>
      <c r="BI211"/>
      <c r="BJ211"/>
      <c r="BK211"/>
      <c r="BL211"/>
      <c r="BM211"/>
      <c r="BN211"/>
      <c r="BO211"/>
      <c r="BP211"/>
      <c r="BQ211" t="s">
        <v>1714</v>
      </c>
      <c r="BR211" t="s">
        <v>2048</v>
      </c>
      <c r="BS211" t="s">
        <v>1456</v>
      </c>
      <c r="BT211" t="s">
        <v>2040</v>
      </c>
      <c r="BU211">
        <v>6128791592</v>
      </c>
      <c r="BV211"/>
      <c r="BW211">
        <v>6128791629</v>
      </c>
      <c r="BX211" t="s">
        <v>2049</v>
      </c>
      <c r="BY211" t="s">
        <v>2042</v>
      </c>
      <c r="BZ211" t="s">
        <v>831</v>
      </c>
      <c r="CA211" t="s">
        <v>2043</v>
      </c>
      <c r="CB211" t="s">
        <v>744</v>
      </c>
      <c r="CC211" t="s">
        <v>54</v>
      </c>
      <c r="CD211" s="576">
        <v>55435</v>
      </c>
      <c r="CE211"/>
      <c r="CF211" t="s">
        <v>2054</v>
      </c>
      <c r="CG211" t="s">
        <v>2052</v>
      </c>
      <c r="CH211" t="s">
        <v>141</v>
      </c>
      <c r="CI211"/>
      <c r="CJ211"/>
      <c r="CK211"/>
      <c r="CL211"/>
      <c r="CM211">
        <v>1710098306</v>
      </c>
      <c r="CN211">
        <v>192</v>
      </c>
      <c r="CO211">
        <v>193</v>
      </c>
      <c r="CP211">
        <v>16</v>
      </c>
      <c r="CQ211"/>
      <c r="CR211">
        <v>193</v>
      </c>
      <c r="CS211" t="s">
        <v>788</v>
      </c>
      <c r="CT211">
        <v>12</v>
      </c>
      <c r="CU211"/>
      <c r="CV211"/>
      <c r="CW211"/>
      <c r="CX211"/>
      <c r="CY211"/>
      <c r="CZ211"/>
      <c r="DA211"/>
      <c r="DB211"/>
      <c r="DC211"/>
      <c r="DD211"/>
      <c r="DE211"/>
      <c r="DF211"/>
      <c r="DG211"/>
      <c r="DH211"/>
      <c r="DI211"/>
      <c r="DJ211"/>
      <c r="DK211"/>
      <c r="DL211"/>
      <c r="DM211"/>
      <c r="DN211"/>
      <c r="DO211"/>
      <c r="DP211"/>
      <c r="DQ211"/>
      <c r="DR211"/>
      <c r="DS211"/>
      <c r="DT211"/>
      <c r="DU211"/>
      <c r="DV211"/>
      <c r="DW211"/>
      <c r="DX211"/>
      <c r="DY211"/>
      <c r="DZ211"/>
      <c r="EA211"/>
      <c r="EB211"/>
      <c r="EC211"/>
      <c r="ED211"/>
      <c r="EE211"/>
      <c r="EF211"/>
      <c r="EG211"/>
      <c r="EH211"/>
      <c r="EI211"/>
      <c r="EJ211"/>
      <c r="EK211"/>
      <c r="EL211"/>
      <c r="EM211"/>
      <c r="EN211"/>
      <c r="EO211"/>
      <c r="EP211"/>
      <c r="EQ211"/>
      <c r="ER211">
        <v>88</v>
      </c>
      <c r="ES211"/>
      <c r="ET211"/>
      <c r="EU211"/>
      <c r="EV211" s="439">
        <v>742</v>
      </c>
      <c r="EW211" t="s">
        <v>1115</v>
      </c>
      <c r="EX211" t="s">
        <v>892</v>
      </c>
      <c r="EY211" t="s">
        <v>893</v>
      </c>
      <c r="EZ211" t="s">
        <v>54</v>
      </c>
      <c r="FA211">
        <v>55344</v>
      </c>
      <c r="FB211">
        <v>1699706176</v>
      </c>
    </row>
    <row r="212" spans="1:158" x14ac:dyDescent="0.2">
      <c r="A212" s="439">
        <v>1205</v>
      </c>
      <c r="B212" t="s">
        <v>2040</v>
      </c>
      <c r="C212" t="s">
        <v>2056</v>
      </c>
      <c r="D212" t="s">
        <v>2057</v>
      </c>
      <c r="E212"/>
      <c r="F212" t="s">
        <v>838</v>
      </c>
      <c r="G212" t="s">
        <v>54</v>
      </c>
      <c r="H212" s="576">
        <v>55042</v>
      </c>
      <c r="I212"/>
      <c r="J212" t="s">
        <v>2042</v>
      </c>
      <c r="K212" t="s">
        <v>831</v>
      </c>
      <c r="L212" t="s">
        <v>2043</v>
      </c>
      <c r="M212" t="s">
        <v>744</v>
      </c>
      <c r="N212" t="s">
        <v>54</v>
      </c>
      <c r="O212" s="576">
        <v>55435</v>
      </c>
      <c r="P212"/>
      <c r="Q212">
        <v>6128791000</v>
      </c>
      <c r="R212">
        <v>6128790722</v>
      </c>
      <c r="S212" t="s">
        <v>2044</v>
      </c>
      <c r="T212" t="s">
        <v>2045</v>
      </c>
      <c r="U212" t="s">
        <v>1957</v>
      </c>
      <c r="V212" t="s">
        <v>2046</v>
      </c>
      <c r="W212" t="s">
        <v>2047</v>
      </c>
      <c r="X212" t="s">
        <v>1714</v>
      </c>
      <c r="Y212" t="s">
        <v>2048</v>
      </c>
      <c r="Z212" t="s">
        <v>1456</v>
      </c>
      <c r="AA212" t="s">
        <v>2040</v>
      </c>
      <c r="AB212">
        <v>6128791592</v>
      </c>
      <c r="AC212"/>
      <c r="AD212">
        <v>6128791629</v>
      </c>
      <c r="AE212" t="s">
        <v>2049</v>
      </c>
      <c r="AF212" t="s">
        <v>2042</v>
      </c>
      <c r="AG212" t="s">
        <v>831</v>
      </c>
      <c r="AH212" t="s">
        <v>2043</v>
      </c>
      <c r="AI212" t="s">
        <v>744</v>
      </c>
      <c r="AJ212" t="s">
        <v>54</v>
      </c>
      <c r="AK212" s="576">
        <v>55435</v>
      </c>
      <c r="AL212"/>
      <c r="AM212" t="s">
        <v>2050</v>
      </c>
      <c r="AN212" t="s">
        <v>2051</v>
      </c>
      <c r="AO212" t="s">
        <v>751</v>
      </c>
      <c r="AP212" t="s">
        <v>2052</v>
      </c>
      <c r="AQ212">
        <v>6128742180</v>
      </c>
      <c r="AR212"/>
      <c r="AS212"/>
      <c r="AT212" t="s">
        <v>2053</v>
      </c>
      <c r="AU212" t="s">
        <v>2042</v>
      </c>
      <c r="AV212" t="s">
        <v>831</v>
      </c>
      <c r="AW212" t="s">
        <v>2043</v>
      </c>
      <c r="AX212" t="s">
        <v>744</v>
      </c>
      <c r="AY212" t="s">
        <v>54</v>
      </c>
      <c r="AZ212" s="576">
        <v>55435</v>
      </c>
      <c r="BA212"/>
      <c r="BB212"/>
      <c r="BC212"/>
      <c r="BD212"/>
      <c r="BE212"/>
      <c r="BF212"/>
      <c r="BG212"/>
      <c r="BH212"/>
      <c r="BI212"/>
      <c r="BJ212"/>
      <c r="BK212"/>
      <c r="BL212"/>
      <c r="BM212"/>
      <c r="BN212"/>
      <c r="BO212"/>
      <c r="BP212"/>
      <c r="BQ212" t="s">
        <v>1714</v>
      </c>
      <c r="BR212" t="s">
        <v>2048</v>
      </c>
      <c r="BS212" t="s">
        <v>1456</v>
      </c>
      <c r="BT212" t="s">
        <v>2040</v>
      </c>
      <c r="BU212">
        <v>6128791592</v>
      </c>
      <c r="BV212"/>
      <c r="BW212">
        <v>6128791629</v>
      </c>
      <c r="BX212" t="s">
        <v>2049</v>
      </c>
      <c r="BY212" t="s">
        <v>2042</v>
      </c>
      <c r="BZ212" t="s">
        <v>831</v>
      </c>
      <c r="CA212" t="s">
        <v>2043</v>
      </c>
      <c r="CB212" t="s">
        <v>744</v>
      </c>
      <c r="CC212" t="s">
        <v>54</v>
      </c>
      <c r="CD212" s="576">
        <v>55435</v>
      </c>
      <c r="CE212"/>
      <c r="CF212" t="s">
        <v>2054</v>
      </c>
      <c r="CG212" t="s">
        <v>2052</v>
      </c>
      <c r="CH212" t="s">
        <v>141</v>
      </c>
      <c r="CI212"/>
      <c r="CJ212"/>
      <c r="CK212"/>
      <c r="CL212"/>
      <c r="CM212">
        <v>1710098306</v>
      </c>
      <c r="CN212">
        <v>192</v>
      </c>
      <c r="CO212">
        <v>193</v>
      </c>
      <c r="CP212">
        <v>16</v>
      </c>
      <c r="CQ212"/>
      <c r="CR212">
        <v>193</v>
      </c>
      <c r="CS212" t="s">
        <v>788</v>
      </c>
      <c r="CT212">
        <v>12</v>
      </c>
      <c r="CU212"/>
      <c r="CV212"/>
      <c r="CW212"/>
      <c r="CX212"/>
      <c r="CY212"/>
      <c r="CZ212"/>
      <c r="DA212"/>
      <c r="DB212"/>
      <c r="DC212"/>
      <c r="DD212">
        <v>128</v>
      </c>
      <c r="DE212" t="s">
        <v>2058</v>
      </c>
      <c r="DF212"/>
      <c r="DG212"/>
      <c r="DH212"/>
      <c r="DI212"/>
      <c r="DJ212"/>
      <c r="DK212"/>
      <c r="DL212"/>
      <c r="DM212"/>
      <c r="DN212"/>
      <c r="DO212"/>
      <c r="DP212"/>
      <c r="DQ212"/>
      <c r="DR212"/>
      <c r="DS212"/>
      <c r="DT212"/>
      <c r="DU212"/>
      <c r="DV212"/>
      <c r="DW212"/>
      <c r="DX212"/>
      <c r="DY212"/>
      <c r="DZ212"/>
      <c r="EA212"/>
      <c r="EB212"/>
      <c r="EC212"/>
      <c r="ED212"/>
      <c r="EE212"/>
      <c r="EF212"/>
      <c r="EG212"/>
      <c r="EH212"/>
      <c r="EI212"/>
      <c r="EJ212"/>
      <c r="EK212"/>
      <c r="EL212"/>
      <c r="EM212"/>
      <c r="EN212"/>
      <c r="EO212"/>
      <c r="EP212"/>
      <c r="EQ212"/>
      <c r="ER212">
        <v>88</v>
      </c>
      <c r="ES212"/>
      <c r="ET212"/>
      <c r="EU212"/>
      <c r="EV212" s="439">
        <v>1003</v>
      </c>
      <c r="EW212" t="s">
        <v>2887</v>
      </c>
      <c r="EX212" t="s">
        <v>892</v>
      </c>
      <c r="EY212" t="s">
        <v>2888</v>
      </c>
      <c r="EZ212" t="s">
        <v>54</v>
      </c>
      <c r="FA212">
        <v>55344</v>
      </c>
      <c r="FB212"/>
    </row>
    <row r="213" spans="1:158" x14ac:dyDescent="0.2">
      <c r="A213" s="439">
        <v>1458</v>
      </c>
      <c r="B213" t="s">
        <v>2059</v>
      </c>
      <c r="C213" t="s">
        <v>798</v>
      </c>
      <c r="D213" t="s">
        <v>2060</v>
      </c>
      <c r="E213"/>
      <c r="F213" t="s">
        <v>801</v>
      </c>
      <c r="G213" t="s">
        <v>54</v>
      </c>
      <c r="H213" s="576">
        <v>55449</v>
      </c>
      <c r="I213"/>
      <c r="J213" t="s">
        <v>2060</v>
      </c>
      <c r="K213"/>
      <c r="L213" t="s">
        <v>798</v>
      </c>
      <c r="M213" t="s">
        <v>801</v>
      </c>
      <c r="N213" t="s">
        <v>54</v>
      </c>
      <c r="O213" s="576">
        <v>55449</v>
      </c>
      <c r="P213"/>
      <c r="Q213">
        <v>7635815951</v>
      </c>
      <c r="R213"/>
      <c r="S213" t="s">
        <v>2061</v>
      </c>
      <c r="T213" t="s">
        <v>2062</v>
      </c>
      <c r="U213" t="s">
        <v>2063</v>
      </c>
      <c r="V213" t="s">
        <v>2064</v>
      </c>
      <c r="W213" t="s">
        <v>2065</v>
      </c>
      <c r="X213" t="s">
        <v>2025</v>
      </c>
      <c r="Y213" t="s">
        <v>2066</v>
      </c>
      <c r="Z213" t="s">
        <v>2067</v>
      </c>
      <c r="AA213" t="s">
        <v>2068</v>
      </c>
      <c r="AB213">
        <v>7635814573</v>
      </c>
      <c r="AC213"/>
      <c r="AD213">
        <v>7635814561</v>
      </c>
      <c r="AE213" t="s">
        <v>2069</v>
      </c>
      <c r="AF213" t="s">
        <v>2070</v>
      </c>
      <c r="AG213" t="s">
        <v>2020</v>
      </c>
      <c r="AH213" t="s">
        <v>2071</v>
      </c>
      <c r="AI213" t="s">
        <v>744</v>
      </c>
      <c r="AJ213" t="s">
        <v>54</v>
      </c>
      <c r="AK213" s="576">
        <v>55422</v>
      </c>
      <c r="AL213"/>
      <c r="AM213" t="s">
        <v>1562</v>
      </c>
      <c r="AN213" t="s">
        <v>2072</v>
      </c>
      <c r="AO213" t="s">
        <v>2073</v>
      </c>
      <c r="AP213" t="s">
        <v>2068</v>
      </c>
      <c r="AQ213">
        <v>7635814768</v>
      </c>
      <c r="AR213"/>
      <c r="AS213">
        <v>7635812414</v>
      </c>
      <c r="AT213" t="s">
        <v>2074</v>
      </c>
      <c r="AU213" t="s">
        <v>2070</v>
      </c>
      <c r="AV213" t="s">
        <v>2020</v>
      </c>
      <c r="AW213" t="s">
        <v>2071</v>
      </c>
      <c r="AX213" t="s">
        <v>744</v>
      </c>
      <c r="AY213" t="s">
        <v>54</v>
      </c>
      <c r="AZ213" s="576">
        <v>55422</v>
      </c>
      <c r="BA213"/>
      <c r="BB213"/>
      <c r="BC213"/>
      <c r="BD213"/>
      <c r="BE213"/>
      <c r="BF213"/>
      <c r="BG213"/>
      <c r="BH213"/>
      <c r="BI213"/>
      <c r="BJ213"/>
      <c r="BK213"/>
      <c r="BL213"/>
      <c r="BM213"/>
      <c r="BN213"/>
      <c r="BO213"/>
      <c r="BP213"/>
      <c r="BQ213" t="s">
        <v>2025</v>
      </c>
      <c r="BR213" t="s">
        <v>2066</v>
      </c>
      <c r="BS213" t="s">
        <v>2067</v>
      </c>
      <c r="BT213" t="s">
        <v>2068</v>
      </c>
      <c r="BU213">
        <v>7635814573</v>
      </c>
      <c r="BV213"/>
      <c r="BW213">
        <v>7635814561</v>
      </c>
      <c r="BX213" t="s">
        <v>2069</v>
      </c>
      <c r="BY213" t="s">
        <v>2070</v>
      </c>
      <c r="BZ213" t="s">
        <v>2020</v>
      </c>
      <c r="CA213" t="s">
        <v>2071</v>
      </c>
      <c r="CB213" t="s">
        <v>744</v>
      </c>
      <c r="CC213" t="s">
        <v>54</v>
      </c>
      <c r="CD213" s="576">
        <v>55422</v>
      </c>
      <c r="CE213"/>
      <c r="CF213" t="s">
        <v>2075</v>
      </c>
      <c r="CG213" t="s">
        <v>1731</v>
      </c>
      <c r="CH213" t="s">
        <v>141</v>
      </c>
      <c r="CI213"/>
      <c r="CJ213"/>
      <c r="CK213"/>
      <c r="CL213"/>
      <c r="CM213">
        <v>1952732729</v>
      </c>
      <c r="CN213">
        <v>2841</v>
      </c>
      <c r="CO213">
        <v>2881</v>
      </c>
      <c r="CP213">
        <v>2215</v>
      </c>
      <c r="CQ213"/>
      <c r="CR213">
        <v>2881</v>
      </c>
      <c r="CS213" t="s">
        <v>788</v>
      </c>
      <c r="CT213">
        <v>12</v>
      </c>
      <c r="CU213"/>
      <c r="CV213"/>
      <c r="CW213"/>
      <c r="CX213"/>
      <c r="CY213"/>
      <c r="CZ213"/>
      <c r="DA213"/>
      <c r="DB213"/>
      <c r="DC213"/>
      <c r="DD213"/>
      <c r="DE213"/>
      <c r="DF213"/>
      <c r="DG213"/>
      <c r="DH213">
        <v>129</v>
      </c>
      <c r="DI213" t="s">
        <v>2076</v>
      </c>
      <c r="DJ213"/>
      <c r="DK213"/>
      <c r="DL213"/>
      <c r="DM213"/>
      <c r="DN213"/>
      <c r="DO213"/>
      <c r="DP213"/>
      <c r="DQ213"/>
      <c r="DR213"/>
      <c r="DS213"/>
      <c r="DT213"/>
      <c r="DU213"/>
      <c r="DV213"/>
      <c r="DW213"/>
      <c r="DX213"/>
      <c r="DY213"/>
      <c r="DZ213"/>
      <c r="EA213"/>
      <c r="EB213"/>
      <c r="EC213"/>
      <c r="ED213"/>
      <c r="EE213"/>
      <c r="EF213"/>
      <c r="EG213"/>
      <c r="EH213"/>
      <c r="EI213"/>
      <c r="EJ213"/>
      <c r="EK213"/>
      <c r="EL213"/>
      <c r="EM213"/>
      <c r="EN213"/>
      <c r="EO213"/>
      <c r="EP213"/>
      <c r="EQ213"/>
      <c r="ER213">
        <v>21</v>
      </c>
      <c r="ES213"/>
      <c r="ET213"/>
      <c r="EU213"/>
      <c r="EV213" s="439">
        <v>1027</v>
      </c>
      <c r="EW213" t="s">
        <v>2889</v>
      </c>
      <c r="EX213" t="s">
        <v>892</v>
      </c>
      <c r="EY213" t="s">
        <v>2890</v>
      </c>
      <c r="EZ213" t="s">
        <v>54</v>
      </c>
      <c r="FA213">
        <v>55346</v>
      </c>
      <c r="FB213"/>
    </row>
    <row r="214" spans="1:158" x14ac:dyDescent="0.2">
      <c r="A214" s="439">
        <v>1256</v>
      </c>
      <c r="B214" t="s">
        <v>2077</v>
      </c>
      <c r="C214" t="s">
        <v>735</v>
      </c>
      <c r="D214" t="s">
        <v>2078</v>
      </c>
      <c r="E214"/>
      <c r="F214" t="s">
        <v>744</v>
      </c>
      <c r="G214" t="s">
        <v>54</v>
      </c>
      <c r="H214" s="576">
        <v>55345</v>
      </c>
      <c r="I214"/>
      <c r="J214" t="s">
        <v>2078</v>
      </c>
      <c r="K214"/>
      <c r="L214" t="s">
        <v>735</v>
      </c>
      <c r="M214" t="s">
        <v>744</v>
      </c>
      <c r="N214" t="s">
        <v>54</v>
      </c>
      <c r="O214" s="576">
        <v>55345</v>
      </c>
      <c r="P214"/>
      <c r="Q214">
        <v>7635818900</v>
      </c>
      <c r="R214"/>
      <c r="S214" t="s">
        <v>2061</v>
      </c>
      <c r="T214" t="s">
        <v>2062</v>
      </c>
      <c r="U214" t="s">
        <v>2063</v>
      </c>
      <c r="V214" t="s">
        <v>2064</v>
      </c>
      <c r="W214" t="s">
        <v>2065</v>
      </c>
      <c r="X214" t="s">
        <v>2025</v>
      </c>
      <c r="Y214" t="s">
        <v>2066</v>
      </c>
      <c r="Z214" t="s">
        <v>2067</v>
      </c>
      <c r="AA214" t="s">
        <v>2068</v>
      </c>
      <c r="AB214">
        <v>7635814573</v>
      </c>
      <c r="AC214"/>
      <c r="AD214">
        <v>7635814561</v>
      </c>
      <c r="AE214" t="s">
        <v>2069</v>
      </c>
      <c r="AF214" t="s">
        <v>2070</v>
      </c>
      <c r="AG214" t="s">
        <v>2020</v>
      </c>
      <c r="AH214" t="s">
        <v>2071</v>
      </c>
      <c r="AI214" t="s">
        <v>744</v>
      </c>
      <c r="AJ214" t="s">
        <v>54</v>
      </c>
      <c r="AK214" s="576">
        <v>55422</v>
      </c>
      <c r="AL214"/>
      <c r="AM214" t="s">
        <v>1562</v>
      </c>
      <c r="AN214" t="s">
        <v>2072</v>
      </c>
      <c r="AO214" t="s">
        <v>2073</v>
      </c>
      <c r="AP214" t="s">
        <v>2068</v>
      </c>
      <c r="AQ214">
        <v>7635814768</v>
      </c>
      <c r="AR214"/>
      <c r="AS214">
        <v>7635812414</v>
      </c>
      <c r="AT214" t="s">
        <v>2074</v>
      </c>
      <c r="AU214" t="s">
        <v>2070</v>
      </c>
      <c r="AV214" t="s">
        <v>2020</v>
      </c>
      <c r="AW214" t="s">
        <v>2071</v>
      </c>
      <c r="AX214" t="s">
        <v>744</v>
      </c>
      <c r="AY214" t="s">
        <v>54</v>
      </c>
      <c r="AZ214" s="576">
        <v>55422</v>
      </c>
      <c r="BA214"/>
      <c r="BB214"/>
      <c r="BC214"/>
      <c r="BD214"/>
      <c r="BE214"/>
      <c r="BF214"/>
      <c r="BG214"/>
      <c r="BH214"/>
      <c r="BI214"/>
      <c r="BJ214"/>
      <c r="BK214"/>
      <c r="BL214"/>
      <c r="BM214"/>
      <c r="BN214"/>
      <c r="BO214"/>
      <c r="BP214"/>
      <c r="BQ214" t="s">
        <v>2025</v>
      </c>
      <c r="BR214" t="s">
        <v>2066</v>
      </c>
      <c r="BS214" t="s">
        <v>2067</v>
      </c>
      <c r="BT214" t="s">
        <v>2068</v>
      </c>
      <c r="BU214">
        <v>7635814573</v>
      </c>
      <c r="BV214"/>
      <c r="BW214">
        <v>7635814561</v>
      </c>
      <c r="BX214" t="s">
        <v>2069</v>
      </c>
      <c r="BY214" t="s">
        <v>2070</v>
      </c>
      <c r="BZ214" t="s">
        <v>2020</v>
      </c>
      <c r="CA214" t="s">
        <v>2071</v>
      </c>
      <c r="CB214" t="s">
        <v>744</v>
      </c>
      <c r="CC214" t="s">
        <v>54</v>
      </c>
      <c r="CD214" s="576">
        <v>55422</v>
      </c>
      <c r="CE214"/>
      <c r="CF214" t="s">
        <v>2075</v>
      </c>
      <c r="CG214" t="s">
        <v>1731</v>
      </c>
      <c r="CH214" t="s">
        <v>141</v>
      </c>
      <c r="CI214"/>
      <c r="CJ214"/>
      <c r="CK214"/>
      <c r="CL214"/>
      <c r="CM214">
        <v>1952732729</v>
      </c>
      <c r="CN214">
        <v>2879</v>
      </c>
      <c r="CO214">
        <v>2881</v>
      </c>
      <c r="CP214">
        <v>2215</v>
      </c>
      <c r="CQ214"/>
      <c r="CR214">
        <v>2881</v>
      </c>
      <c r="CS214" t="s">
        <v>788</v>
      </c>
      <c r="CT214">
        <v>12</v>
      </c>
      <c r="CU214"/>
      <c r="CV214"/>
      <c r="CW214"/>
      <c r="CX214"/>
      <c r="CY214"/>
      <c r="CZ214"/>
      <c r="DA214"/>
      <c r="DB214"/>
      <c r="DC214"/>
      <c r="DD214">
        <v>128</v>
      </c>
      <c r="DE214" t="s">
        <v>2079</v>
      </c>
      <c r="DF214"/>
      <c r="DG214"/>
      <c r="DH214">
        <v>129</v>
      </c>
      <c r="DI214" t="s">
        <v>1103</v>
      </c>
      <c r="DJ214"/>
      <c r="DK214"/>
      <c r="DL214"/>
      <c r="DM214"/>
      <c r="DN214"/>
      <c r="DO214"/>
      <c r="DP214"/>
      <c r="DQ214"/>
      <c r="DR214"/>
      <c r="DS214"/>
      <c r="DT214"/>
      <c r="DU214"/>
      <c r="DV214"/>
      <c r="DW214"/>
      <c r="DX214"/>
      <c r="DY214"/>
      <c r="DZ214"/>
      <c r="EA214"/>
      <c r="EB214"/>
      <c r="EC214"/>
      <c r="ED214"/>
      <c r="EE214"/>
      <c r="EF214"/>
      <c r="EG214"/>
      <c r="EH214"/>
      <c r="EI214"/>
      <c r="EJ214"/>
      <c r="EK214"/>
      <c r="EL214"/>
      <c r="EM214"/>
      <c r="EN214"/>
      <c r="EO214"/>
      <c r="EP214"/>
      <c r="EQ214"/>
      <c r="ER214">
        <v>21</v>
      </c>
      <c r="ES214"/>
      <c r="ET214"/>
      <c r="EU214"/>
      <c r="EV214" s="439">
        <v>421</v>
      </c>
      <c r="EW214" t="s">
        <v>2891</v>
      </c>
      <c r="EX214" t="s">
        <v>967</v>
      </c>
      <c r="EY214" t="s">
        <v>2113</v>
      </c>
      <c r="EZ214" t="s">
        <v>54</v>
      </c>
      <c r="FA214">
        <v>55435</v>
      </c>
      <c r="FB214">
        <v>1679235584</v>
      </c>
    </row>
    <row r="215" spans="1:158" x14ac:dyDescent="0.2">
      <c r="A215" s="439">
        <v>1899</v>
      </c>
      <c r="B215" t="s">
        <v>2080</v>
      </c>
      <c r="C215" t="s">
        <v>2043</v>
      </c>
      <c r="D215" t="s">
        <v>2081</v>
      </c>
      <c r="E215" t="s">
        <v>749</v>
      </c>
      <c r="F215" t="s">
        <v>744</v>
      </c>
      <c r="G215" t="s">
        <v>54</v>
      </c>
      <c r="H215" s="576">
        <v>55431</v>
      </c>
      <c r="I215" t="s">
        <v>749</v>
      </c>
      <c r="J215" t="s">
        <v>2081</v>
      </c>
      <c r="K215" t="s">
        <v>749</v>
      </c>
      <c r="L215" t="s">
        <v>2043</v>
      </c>
      <c r="M215" t="s">
        <v>744</v>
      </c>
      <c r="N215" t="s">
        <v>54</v>
      </c>
      <c r="O215" s="576">
        <v>55431</v>
      </c>
      <c r="P215" t="s">
        <v>749</v>
      </c>
      <c r="Q215">
        <v>9528568620</v>
      </c>
      <c r="R215">
        <v>9528881957</v>
      </c>
      <c r="S215" t="s">
        <v>2082</v>
      </c>
      <c r="T215" t="s">
        <v>2083</v>
      </c>
      <c r="U215" t="s">
        <v>2084</v>
      </c>
      <c r="V215" t="s">
        <v>2085</v>
      </c>
      <c r="W215" t="s">
        <v>2086</v>
      </c>
      <c r="X215" t="s">
        <v>1778</v>
      </c>
      <c r="Y215" t="s">
        <v>2087</v>
      </c>
      <c r="Z215" t="s">
        <v>2088</v>
      </c>
      <c r="AA215" t="s">
        <v>2089</v>
      </c>
      <c r="AB215">
        <v>9522253096</v>
      </c>
      <c r="AC215"/>
      <c r="AD215">
        <v>9528881957</v>
      </c>
      <c r="AE215" t="s">
        <v>2090</v>
      </c>
      <c r="AF215" t="s">
        <v>2081</v>
      </c>
      <c r="AG215" t="s">
        <v>749</v>
      </c>
      <c r="AH215" t="s">
        <v>2043</v>
      </c>
      <c r="AI215" t="s">
        <v>744</v>
      </c>
      <c r="AJ215" t="s">
        <v>54</v>
      </c>
      <c r="AK215" s="576">
        <v>55431</v>
      </c>
      <c r="AL215" t="s">
        <v>749</v>
      </c>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c r="BS215"/>
      <c r="BT215"/>
      <c r="BU215"/>
      <c r="BV215"/>
      <c r="BW215"/>
      <c r="BX215"/>
      <c r="BY215"/>
      <c r="BZ215"/>
      <c r="CA215"/>
      <c r="CB215"/>
      <c r="CC215"/>
      <c r="CD215"/>
      <c r="CE215"/>
      <c r="CF215" t="s">
        <v>2091</v>
      </c>
      <c r="CG215" t="s">
        <v>733</v>
      </c>
      <c r="CH215" t="s">
        <v>141</v>
      </c>
      <c r="CI215"/>
      <c r="CJ215"/>
      <c r="CK215"/>
      <c r="CL215"/>
      <c r="CM215">
        <v>1942778097</v>
      </c>
      <c r="CN215">
        <v>393</v>
      </c>
      <c r="CO215">
        <v>349</v>
      </c>
      <c r="CP215"/>
      <c r="CQ215"/>
      <c r="CR215"/>
      <c r="CS215" t="s">
        <v>2092</v>
      </c>
      <c r="CT215">
        <v>12</v>
      </c>
      <c r="CU215"/>
      <c r="CV215"/>
      <c r="CW215"/>
      <c r="CX215" t="s">
        <v>749</v>
      </c>
      <c r="CY215"/>
      <c r="CZ215" t="s">
        <v>749</v>
      </c>
      <c r="DA215" t="s">
        <v>749</v>
      </c>
      <c r="DB215" t="s">
        <v>749</v>
      </c>
      <c r="DC215" t="s">
        <v>749</v>
      </c>
      <c r="DD215"/>
      <c r="DE215"/>
      <c r="DF215"/>
      <c r="DG215"/>
      <c r="DH215"/>
      <c r="DI215"/>
      <c r="DJ215"/>
      <c r="DK215"/>
      <c r="DL215"/>
      <c r="DM215"/>
      <c r="DN215"/>
      <c r="DO215"/>
      <c r="DP215"/>
      <c r="DQ215"/>
      <c r="DR215"/>
      <c r="DS215"/>
      <c r="DT215"/>
      <c r="DU215"/>
      <c r="DV215"/>
      <c r="DW215"/>
      <c r="DX215"/>
      <c r="DY215"/>
      <c r="DZ215"/>
      <c r="EA215"/>
      <c r="EB215"/>
      <c r="EC215"/>
      <c r="ED215"/>
      <c r="EE215"/>
      <c r="EF215"/>
      <c r="EG215"/>
      <c r="EH215"/>
      <c r="EI215"/>
      <c r="EJ215"/>
      <c r="EK215"/>
      <c r="EL215"/>
      <c r="EM215"/>
      <c r="EN215"/>
      <c r="EO215"/>
      <c r="EP215"/>
      <c r="EQ215"/>
      <c r="ER215">
        <v>0</v>
      </c>
      <c r="ES215"/>
      <c r="ET215"/>
      <c r="EU215"/>
      <c r="EV215" s="439">
        <v>1405</v>
      </c>
      <c r="EW215" t="s">
        <v>966</v>
      </c>
      <c r="EX215" t="s">
        <v>967</v>
      </c>
      <c r="EY215" t="s">
        <v>968</v>
      </c>
      <c r="EZ215" t="s">
        <v>54</v>
      </c>
      <c r="FA215">
        <v>55435</v>
      </c>
      <c r="FB215">
        <v>1871006700</v>
      </c>
    </row>
    <row r="216" spans="1:158" x14ac:dyDescent="0.2">
      <c r="A216" s="439">
        <v>1219</v>
      </c>
      <c r="B216" t="s">
        <v>2093</v>
      </c>
      <c r="C216" t="s">
        <v>829</v>
      </c>
      <c r="D216" t="s">
        <v>2094</v>
      </c>
      <c r="E216" t="s">
        <v>1577</v>
      </c>
      <c r="F216"/>
      <c r="G216" t="s">
        <v>54</v>
      </c>
      <c r="H216" s="576">
        <v>55369</v>
      </c>
      <c r="I216"/>
      <c r="J216" t="s">
        <v>2070</v>
      </c>
      <c r="K216" t="s">
        <v>931</v>
      </c>
      <c r="L216" t="s">
        <v>2071</v>
      </c>
      <c r="M216" t="s">
        <v>744</v>
      </c>
      <c r="N216" t="s">
        <v>54</v>
      </c>
      <c r="O216" s="576">
        <v>55422</v>
      </c>
      <c r="P216"/>
      <c r="Q216">
        <v>7632335755</v>
      </c>
      <c r="R216">
        <v>7632335782</v>
      </c>
      <c r="S216" t="s">
        <v>2095</v>
      </c>
      <c r="T216" t="s">
        <v>2096</v>
      </c>
      <c r="U216" t="s">
        <v>740</v>
      </c>
      <c r="V216" t="s">
        <v>2097</v>
      </c>
      <c r="W216"/>
      <c r="X216" t="s">
        <v>2095</v>
      </c>
      <c r="Y216" t="s">
        <v>2096</v>
      </c>
      <c r="Z216" t="s">
        <v>740</v>
      </c>
      <c r="AA216" t="s">
        <v>2098</v>
      </c>
      <c r="AB216">
        <v>7632335755</v>
      </c>
      <c r="AC216">
        <v>5775</v>
      </c>
      <c r="AD216">
        <v>7632335782</v>
      </c>
      <c r="AE216" t="s">
        <v>2097</v>
      </c>
      <c r="AF216" t="s">
        <v>2070</v>
      </c>
      <c r="AG216" t="s">
        <v>931</v>
      </c>
      <c r="AH216" t="s">
        <v>2071</v>
      </c>
      <c r="AI216" t="s">
        <v>744</v>
      </c>
      <c r="AJ216" t="s">
        <v>54</v>
      </c>
      <c r="AK216" s="576">
        <v>55422</v>
      </c>
      <c r="AL216"/>
      <c r="AM216" t="s">
        <v>1988</v>
      </c>
      <c r="AN216" t="s">
        <v>2099</v>
      </c>
      <c r="AO216" t="s">
        <v>2100</v>
      </c>
      <c r="AP216" t="s">
        <v>2098</v>
      </c>
      <c r="AQ216">
        <v>7632335755</v>
      </c>
      <c r="AR216">
        <v>5752</v>
      </c>
      <c r="AS216">
        <v>7632335782</v>
      </c>
      <c r="AT216" t="s">
        <v>2101</v>
      </c>
      <c r="AU216" t="s">
        <v>2070</v>
      </c>
      <c r="AV216" t="s">
        <v>931</v>
      </c>
      <c r="AW216" t="s">
        <v>2071</v>
      </c>
      <c r="AX216" t="s">
        <v>744</v>
      </c>
      <c r="AY216" t="s">
        <v>54</v>
      </c>
      <c r="AZ216" s="576">
        <v>55422</v>
      </c>
      <c r="BA216"/>
      <c r="BB216"/>
      <c r="BC216"/>
      <c r="BD216"/>
      <c r="BE216"/>
      <c r="BF216"/>
      <c r="BG216"/>
      <c r="BH216"/>
      <c r="BI216"/>
      <c r="BJ216"/>
      <c r="BK216"/>
      <c r="BL216"/>
      <c r="BM216"/>
      <c r="BN216"/>
      <c r="BO216"/>
      <c r="BP216"/>
      <c r="BQ216"/>
      <c r="BR216"/>
      <c r="BS216"/>
      <c r="BT216"/>
      <c r="BU216"/>
      <c r="BV216"/>
      <c r="BW216"/>
      <c r="BX216"/>
      <c r="BY216"/>
      <c r="BZ216"/>
      <c r="CA216"/>
      <c r="CB216"/>
      <c r="CC216"/>
      <c r="CD216"/>
      <c r="CE216"/>
      <c r="CF216" t="s">
        <v>2102</v>
      </c>
      <c r="CG216" t="s">
        <v>2103</v>
      </c>
      <c r="CH216" t="s">
        <v>141</v>
      </c>
      <c r="CI216"/>
      <c r="CJ216"/>
      <c r="CK216"/>
      <c r="CL216"/>
      <c r="CM216">
        <v>1598976326</v>
      </c>
      <c r="CN216">
        <v>1845</v>
      </c>
      <c r="CO216">
        <v>2840</v>
      </c>
      <c r="CP216">
        <v>2311</v>
      </c>
      <c r="CQ216"/>
      <c r="CR216"/>
      <c r="CS216" t="s">
        <v>788</v>
      </c>
      <c r="CT216">
        <v>12</v>
      </c>
      <c r="CU216"/>
      <c r="CV216"/>
      <c r="CW216"/>
      <c r="CX216"/>
      <c r="CY216"/>
      <c r="CZ216"/>
      <c r="DA216"/>
      <c r="DB216"/>
      <c r="DC216"/>
      <c r="DD216"/>
      <c r="DE216"/>
      <c r="DF216"/>
      <c r="DG216"/>
      <c r="DH216"/>
      <c r="DI216"/>
      <c r="DJ216"/>
      <c r="DK216"/>
      <c r="DL216"/>
      <c r="DM216"/>
      <c r="DN216">
        <v>133</v>
      </c>
      <c r="DO216" t="s">
        <v>1994</v>
      </c>
      <c r="DP216"/>
      <c r="DQ216"/>
      <c r="DR216"/>
      <c r="DS216"/>
      <c r="DT216"/>
      <c r="DU216"/>
      <c r="DV216"/>
      <c r="DW216"/>
      <c r="DX216"/>
      <c r="DY216"/>
      <c r="DZ216"/>
      <c r="EA216"/>
      <c r="EB216"/>
      <c r="EC216"/>
      <c r="ED216"/>
      <c r="EE216"/>
      <c r="EF216"/>
      <c r="EG216"/>
      <c r="EH216"/>
      <c r="EI216"/>
      <c r="EJ216"/>
      <c r="EK216"/>
      <c r="EL216"/>
      <c r="EM216"/>
      <c r="EN216"/>
      <c r="EO216"/>
      <c r="EP216"/>
      <c r="EQ216"/>
      <c r="ER216">
        <v>145</v>
      </c>
      <c r="ES216"/>
      <c r="ET216"/>
      <c r="EU216"/>
      <c r="EV216" s="439">
        <v>392</v>
      </c>
      <c r="EW216" t="s">
        <v>2892</v>
      </c>
      <c r="EX216" t="s">
        <v>967</v>
      </c>
      <c r="EY216" t="s">
        <v>2893</v>
      </c>
      <c r="EZ216" t="s">
        <v>54</v>
      </c>
      <c r="FA216">
        <v>55435</v>
      </c>
      <c r="FB216">
        <v>1154718070</v>
      </c>
    </row>
    <row r="217" spans="1:158" x14ac:dyDescent="0.2">
      <c r="A217" s="439">
        <v>1126</v>
      </c>
      <c r="B217" t="s">
        <v>2104</v>
      </c>
      <c r="C217" t="s">
        <v>2071</v>
      </c>
      <c r="D217" t="s">
        <v>2070</v>
      </c>
      <c r="E217" t="s">
        <v>931</v>
      </c>
      <c r="F217"/>
      <c r="G217" t="s">
        <v>54</v>
      </c>
      <c r="H217" s="576">
        <v>55422</v>
      </c>
      <c r="I217"/>
      <c r="J217" t="s">
        <v>2070</v>
      </c>
      <c r="K217" t="s">
        <v>931</v>
      </c>
      <c r="L217" t="s">
        <v>2071</v>
      </c>
      <c r="M217" t="s">
        <v>744</v>
      </c>
      <c r="N217" t="s">
        <v>54</v>
      </c>
      <c r="O217" s="576">
        <v>55422</v>
      </c>
      <c r="P217"/>
      <c r="Q217">
        <v>7632335755</v>
      </c>
      <c r="R217">
        <v>7632335782</v>
      </c>
      <c r="S217" t="s">
        <v>2095</v>
      </c>
      <c r="T217" t="s">
        <v>2096</v>
      </c>
      <c r="U217" t="s">
        <v>740</v>
      </c>
      <c r="V217" t="s">
        <v>2097</v>
      </c>
      <c r="W217"/>
      <c r="X217" t="s">
        <v>2095</v>
      </c>
      <c r="Y217" t="s">
        <v>2096</v>
      </c>
      <c r="Z217" t="s">
        <v>740</v>
      </c>
      <c r="AA217" t="s">
        <v>2098</v>
      </c>
      <c r="AB217">
        <v>7632335755</v>
      </c>
      <c r="AC217">
        <v>5775</v>
      </c>
      <c r="AD217">
        <v>7632335782</v>
      </c>
      <c r="AE217" t="s">
        <v>2097</v>
      </c>
      <c r="AF217" t="s">
        <v>2070</v>
      </c>
      <c r="AG217" t="s">
        <v>931</v>
      </c>
      <c r="AH217" t="s">
        <v>2071</v>
      </c>
      <c r="AI217" t="s">
        <v>744</v>
      </c>
      <c r="AJ217" t="s">
        <v>54</v>
      </c>
      <c r="AK217" s="576">
        <v>55422</v>
      </c>
      <c r="AL217"/>
      <c r="AM217" t="s">
        <v>1988</v>
      </c>
      <c r="AN217" t="s">
        <v>2099</v>
      </c>
      <c r="AO217" t="s">
        <v>2100</v>
      </c>
      <c r="AP217" t="s">
        <v>2098</v>
      </c>
      <c r="AQ217">
        <v>7632335755</v>
      </c>
      <c r="AR217">
        <v>5752</v>
      </c>
      <c r="AS217">
        <v>7632335782</v>
      </c>
      <c r="AT217" t="s">
        <v>2101</v>
      </c>
      <c r="AU217" t="s">
        <v>2070</v>
      </c>
      <c r="AV217" t="s">
        <v>931</v>
      </c>
      <c r="AW217" t="s">
        <v>2071</v>
      </c>
      <c r="AX217" t="s">
        <v>744</v>
      </c>
      <c r="AY217" t="s">
        <v>54</v>
      </c>
      <c r="AZ217" s="576">
        <v>55422</v>
      </c>
      <c r="BA217"/>
      <c r="BB217"/>
      <c r="BC217"/>
      <c r="BD217"/>
      <c r="BE217"/>
      <c r="BF217"/>
      <c r="BG217"/>
      <c r="BH217"/>
      <c r="BI217"/>
      <c r="BJ217"/>
      <c r="BK217"/>
      <c r="BL217"/>
      <c r="BM217"/>
      <c r="BN217"/>
      <c r="BO217"/>
      <c r="BP217"/>
      <c r="BQ217"/>
      <c r="BR217"/>
      <c r="BS217"/>
      <c r="BT217"/>
      <c r="BU217"/>
      <c r="BV217"/>
      <c r="BW217"/>
      <c r="BX217"/>
      <c r="BY217"/>
      <c r="BZ217"/>
      <c r="CA217"/>
      <c r="CB217"/>
      <c r="CC217"/>
      <c r="CD217"/>
      <c r="CE217"/>
      <c r="CF217" t="s">
        <v>2102</v>
      </c>
      <c r="CG217" t="s">
        <v>2103</v>
      </c>
      <c r="CH217" t="s">
        <v>141</v>
      </c>
      <c r="CI217"/>
      <c r="CJ217"/>
      <c r="CK217"/>
      <c r="CL217"/>
      <c r="CM217">
        <v>1598976326</v>
      </c>
      <c r="CN217">
        <v>1845</v>
      </c>
      <c r="CO217">
        <v>2840</v>
      </c>
      <c r="CP217">
        <v>2311</v>
      </c>
      <c r="CQ217"/>
      <c r="CR217"/>
      <c r="CS217" t="s">
        <v>788</v>
      </c>
      <c r="CT217">
        <v>12</v>
      </c>
      <c r="CU217"/>
      <c r="CV217"/>
      <c r="CW217"/>
      <c r="CX217"/>
      <c r="CY217"/>
      <c r="CZ217"/>
      <c r="DA217"/>
      <c r="DB217"/>
      <c r="DC217"/>
      <c r="DD217"/>
      <c r="DE217"/>
      <c r="DF217"/>
      <c r="DG217"/>
      <c r="DH217"/>
      <c r="DI217"/>
      <c r="DJ217"/>
      <c r="DK217"/>
      <c r="DL217"/>
      <c r="DM217"/>
      <c r="DN217">
        <v>133</v>
      </c>
      <c r="DO217" t="s">
        <v>1994</v>
      </c>
      <c r="DP217"/>
      <c r="DQ217"/>
      <c r="DR217"/>
      <c r="DS217"/>
      <c r="DT217"/>
      <c r="DU217"/>
      <c r="DV217"/>
      <c r="DW217"/>
      <c r="DX217"/>
      <c r="DY217"/>
      <c r="DZ217"/>
      <c r="EA217"/>
      <c r="EB217"/>
      <c r="EC217"/>
      <c r="ED217"/>
      <c r="EE217"/>
      <c r="EF217"/>
      <c r="EG217"/>
      <c r="EH217"/>
      <c r="EI217"/>
      <c r="EJ217"/>
      <c r="EK217"/>
      <c r="EL217"/>
      <c r="EM217"/>
      <c r="EN217"/>
      <c r="EO217"/>
      <c r="EP217"/>
      <c r="EQ217"/>
      <c r="ER217">
        <v>145</v>
      </c>
      <c r="ES217"/>
      <c r="ET217"/>
      <c r="EU217"/>
      <c r="EV217" s="439">
        <v>561</v>
      </c>
      <c r="EW217" t="s">
        <v>2894</v>
      </c>
      <c r="EX217" t="s">
        <v>967</v>
      </c>
      <c r="EY217" t="s">
        <v>2895</v>
      </c>
      <c r="EZ217" t="s">
        <v>54</v>
      </c>
      <c r="FA217">
        <v>55435</v>
      </c>
      <c r="FB217"/>
    </row>
    <row r="218" spans="1:158" x14ac:dyDescent="0.2">
      <c r="A218" s="439">
        <v>908</v>
      </c>
      <c r="B218" t="s">
        <v>2105</v>
      </c>
      <c r="C218" t="s">
        <v>2106</v>
      </c>
      <c r="D218" t="s">
        <v>2107</v>
      </c>
      <c r="E218" t="s">
        <v>911</v>
      </c>
      <c r="F218" t="s">
        <v>1819</v>
      </c>
      <c r="G218" t="s">
        <v>54</v>
      </c>
      <c r="H218" s="576">
        <v>55317</v>
      </c>
      <c r="I218"/>
      <c r="J218" t="s">
        <v>2107</v>
      </c>
      <c r="K218" t="s">
        <v>911</v>
      </c>
      <c r="L218" t="s">
        <v>2106</v>
      </c>
      <c r="M218" t="s">
        <v>1819</v>
      </c>
      <c r="N218" t="s">
        <v>54</v>
      </c>
      <c r="O218" s="576">
        <v>55317</v>
      </c>
      <c r="P218"/>
      <c r="Q218">
        <v>9529750605</v>
      </c>
      <c r="R218">
        <v>9529753808</v>
      </c>
      <c r="S218" t="s">
        <v>2108</v>
      </c>
      <c r="T218" t="s">
        <v>2109</v>
      </c>
      <c r="U218" t="s">
        <v>2110</v>
      </c>
      <c r="V218" t="s">
        <v>2111</v>
      </c>
      <c r="W218" t="s">
        <v>749</v>
      </c>
      <c r="X218" t="s">
        <v>2108</v>
      </c>
      <c r="Y218" t="s">
        <v>2109</v>
      </c>
      <c r="Z218" t="s">
        <v>2110</v>
      </c>
      <c r="AA218" t="s">
        <v>2112</v>
      </c>
      <c r="AB218">
        <v>9528988803</v>
      </c>
      <c r="AC218"/>
      <c r="AD218">
        <v>9528359598</v>
      </c>
      <c r="AE218" t="s">
        <v>2111</v>
      </c>
      <c r="AF218" t="s">
        <v>2113</v>
      </c>
      <c r="AG218" t="s">
        <v>1395</v>
      </c>
      <c r="AH218" t="s">
        <v>967</v>
      </c>
      <c r="AI218" t="s">
        <v>744</v>
      </c>
      <c r="AJ218" t="s">
        <v>54</v>
      </c>
      <c r="AK218" s="576">
        <v>55435</v>
      </c>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t="s">
        <v>2114</v>
      </c>
      <c r="BR218" t="s">
        <v>2115</v>
      </c>
      <c r="BS218" t="s">
        <v>2116</v>
      </c>
      <c r="BT218" t="s">
        <v>2117</v>
      </c>
      <c r="BU218">
        <v>9524426141</v>
      </c>
      <c r="BV218"/>
      <c r="BW218">
        <v>9524426154</v>
      </c>
      <c r="BX218" t="s">
        <v>2118</v>
      </c>
      <c r="BY218" t="s">
        <v>2119</v>
      </c>
      <c r="BZ218"/>
      <c r="CA218" t="s">
        <v>1817</v>
      </c>
      <c r="CB218" t="s">
        <v>1819</v>
      </c>
      <c r="CC218" t="s">
        <v>54</v>
      </c>
      <c r="CD218" s="576">
        <v>55387</v>
      </c>
      <c r="CE218"/>
      <c r="CF218" t="s">
        <v>2120</v>
      </c>
      <c r="CG218" t="s">
        <v>2112</v>
      </c>
      <c r="CH218" t="s">
        <v>141</v>
      </c>
      <c r="CI218"/>
      <c r="CJ218"/>
      <c r="CK218"/>
      <c r="CL218"/>
      <c r="CM218">
        <v>1316165012</v>
      </c>
      <c r="CN218">
        <v>443</v>
      </c>
      <c r="CO218">
        <v>308</v>
      </c>
      <c r="CP218"/>
      <c r="CQ218"/>
      <c r="CR218">
        <v>310</v>
      </c>
      <c r="CS218" t="s">
        <v>788</v>
      </c>
      <c r="CT218">
        <v>12</v>
      </c>
      <c r="CU218"/>
      <c r="CV218"/>
      <c r="CW218"/>
      <c r="CX218"/>
      <c r="CY218"/>
      <c r="CZ218"/>
      <c r="DA218"/>
      <c r="DB218"/>
      <c r="DC218"/>
      <c r="DD218"/>
      <c r="DE218"/>
      <c r="DF218"/>
      <c r="DG218"/>
      <c r="DH218"/>
      <c r="DI218"/>
      <c r="DJ218"/>
      <c r="DK218"/>
      <c r="DL218"/>
      <c r="DM218"/>
      <c r="DN218"/>
      <c r="DO218"/>
      <c r="DP218"/>
      <c r="DQ218"/>
      <c r="DR218"/>
      <c r="DS218"/>
      <c r="DT218"/>
      <c r="DU218"/>
      <c r="DV218"/>
      <c r="DW218"/>
      <c r="DX218"/>
      <c r="DY218"/>
      <c r="DZ218"/>
      <c r="EA218"/>
      <c r="EB218"/>
      <c r="EC218"/>
      <c r="ED218"/>
      <c r="EE218"/>
      <c r="EF218"/>
      <c r="EG218"/>
      <c r="EH218"/>
      <c r="EI218"/>
      <c r="EJ218"/>
      <c r="EK218"/>
      <c r="EL218"/>
      <c r="EM218"/>
      <c r="EN218"/>
      <c r="EO218"/>
      <c r="EP218"/>
      <c r="EQ218"/>
      <c r="ER218">
        <v>103</v>
      </c>
      <c r="ES218"/>
      <c r="ET218"/>
      <c r="EU218"/>
      <c r="EV218" s="439">
        <v>374</v>
      </c>
      <c r="EW218" t="s">
        <v>2896</v>
      </c>
      <c r="EX218" t="s">
        <v>967</v>
      </c>
      <c r="EY218" t="s">
        <v>2603</v>
      </c>
      <c r="EZ218" t="s">
        <v>54</v>
      </c>
      <c r="FA218">
        <v>55435</v>
      </c>
      <c r="FB218">
        <v>1720398167</v>
      </c>
    </row>
    <row r="219" spans="1:158" x14ac:dyDescent="0.2">
      <c r="A219" s="439">
        <v>675</v>
      </c>
      <c r="B219" t="s">
        <v>2121</v>
      </c>
      <c r="C219" t="s">
        <v>967</v>
      </c>
      <c r="D219" t="s">
        <v>2113</v>
      </c>
      <c r="E219" t="s">
        <v>1395</v>
      </c>
      <c r="F219" t="s">
        <v>744</v>
      </c>
      <c r="G219" t="s">
        <v>54</v>
      </c>
      <c r="H219" s="576">
        <v>55435</v>
      </c>
      <c r="I219" s="576">
        <v>4552</v>
      </c>
      <c r="J219" t="s">
        <v>2113</v>
      </c>
      <c r="K219" t="s">
        <v>1395</v>
      </c>
      <c r="L219" t="s">
        <v>967</v>
      </c>
      <c r="M219" t="s">
        <v>744</v>
      </c>
      <c r="N219" t="s">
        <v>54</v>
      </c>
      <c r="O219" s="576">
        <v>55435</v>
      </c>
      <c r="P219" s="576">
        <v>4552</v>
      </c>
      <c r="Q219">
        <v>9528355003</v>
      </c>
      <c r="R219">
        <v>9528359598</v>
      </c>
      <c r="S219" t="s">
        <v>2108</v>
      </c>
      <c r="T219" t="s">
        <v>2109</v>
      </c>
      <c r="U219" t="s">
        <v>2110</v>
      </c>
      <c r="V219" t="s">
        <v>2111</v>
      </c>
      <c r="W219" t="s">
        <v>749</v>
      </c>
      <c r="X219" t="s">
        <v>2108</v>
      </c>
      <c r="Y219" t="s">
        <v>2109</v>
      </c>
      <c r="Z219" t="s">
        <v>2110</v>
      </c>
      <c r="AA219" t="s">
        <v>2112</v>
      </c>
      <c r="AB219">
        <v>9528988803</v>
      </c>
      <c r="AC219"/>
      <c r="AD219">
        <v>9528359598</v>
      </c>
      <c r="AE219" t="s">
        <v>2111</v>
      </c>
      <c r="AF219" t="s">
        <v>2113</v>
      </c>
      <c r="AG219" t="s">
        <v>1395</v>
      </c>
      <c r="AH219" t="s">
        <v>967</v>
      </c>
      <c r="AI219" t="s">
        <v>744</v>
      </c>
      <c r="AJ219" t="s">
        <v>54</v>
      </c>
      <c r="AK219" s="576">
        <v>55435</v>
      </c>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t="s">
        <v>2114</v>
      </c>
      <c r="BR219" t="s">
        <v>2115</v>
      </c>
      <c r="BS219" t="s">
        <v>2116</v>
      </c>
      <c r="BT219" t="s">
        <v>2117</v>
      </c>
      <c r="BU219">
        <v>9524426141</v>
      </c>
      <c r="BV219"/>
      <c r="BW219">
        <v>9524426154</v>
      </c>
      <c r="BX219" t="s">
        <v>2118</v>
      </c>
      <c r="BY219" t="s">
        <v>2119</v>
      </c>
      <c r="BZ219"/>
      <c r="CA219" t="s">
        <v>1817</v>
      </c>
      <c r="CB219" t="s">
        <v>1819</v>
      </c>
      <c r="CC219" t="s">
        <v>54</v>
      </c>
      <c r="CD219" s="576">
        <v>55387</v>
      </c>
      <c r="CE219"/>
      <c r="CF219" t="s">
        <v>2120</v>
      </c>
      <c r="CG219" t="s">
        <v>2112</v>
      </c>
      <c r="CH219" t="s">
        <v>141</v>
      </c>
      <c r="CI219"/>
      <c r="CJ219"/>
      <c r="CK219"/>
      <c r="CL219"/>
      <c r="CM219">
        <v>1619049921</v>
      </c>
      <c r="CN219">
        <v>442</v>
      </c>
      <c r="CO219">
        <v>308</v>
      </c>
      <c r="CP219"/>
      <c r="CQ219"/>
      <c r="CR219">
        <v>310</v>
      </c>
      <c r="CS219" t="s">
        <v>788</v>
      </c>
      <c r="CT219">
        <v>12</v>
      </c>
      <c r="CU219"/>
      <c r="CV219"/>
      <c r="CW219"/>
      <c r="CX219"/>
      <c r="CY219"/>
      <c r="CZ219"/>
      <c r="DA219"/>
      <c r="DB219"/>
      <c r="DC219"/>
      <c r="DD219"/>
      <c r="DE219"/>
      <c r="DF219"/>
      <c r="DG219"/>
      <c r="DH219"/>
      <c r="DI219"/>
      <c r="DJ219"/>
      <c r="DK219"/>
      <c r="DL219"/>
      <c r="DM219"/>
      <c r="DN219"/>
      <c r="DO219"/>
      <c r="DP219"/>
      <c r="DQ219"/>
      <c r="DR219"/>
      <c r="DS219"/>
      <c r="DT219"/>
      <c r="DU219"/>
      <c r="DV219"/>
      <c r="DW219"/>
      <c r="DX219"/>
      <c r="DY219"/>
      <c r="DZ219"/>
      <c r="EA219"/>
      <c r="EB219"/>
      <c r="EC219"/>
      <c r="ED219"/>
      <c r="EE219"/>
      <c r="EF219"/>
      <c r="EG219"/>
      <c r="EH219"/>
      <c r="EI219"/>
      <c r="EJ219"/>
      <c r="EK219"/>
      <c r="EL219"/>
      <c r="EM219"/>
      <c r="EN219"/>
      <c r="EO219"/>
      <c r="EP219"/>
      <c r="EQ219"/>
      <c r="ER219">
        <v>103</v>
      </c>
      <c r="ES219"/>
      <c r="ET219"/>
      <c r="EU219"/>
      <c r="EV219" s="439">
        <v>343</v>
      </c>
      <c r="EW219" t="s">
        <v>2897</v>
      </c>
      <c r="EX219" t="s">
        <v>967</v>
      </c>
      <c r="EY219" t="s">
        <v>2895</v>
      </c>
      <c r="EZ219" t="s">
        <v>54</v>
      </c>
      <c r="FA219">
        <v>55435</v>
      </c>
      <c r="FB219">
        <v>1174534192</v>
      </c>
    </row>
    <row r="220" spans="1:158" x14ac:dyDescent="0.2">
      <c r="A220" s="439">
        <v>1102</v>
      </c>
      <c r="B220" t="s">
        <v>2122</v>
      </c>
      <c r="C220" t="s">
        <v>1794</v>
      </c>
      <c r="D220" t="s">
        <v>2123</v>
      </c>
      <c r="E220" t="s">
        <v>2124</v>
      </c>
      <c r="F220" t="s">
        <v>1796</v>
      </c>
      <c r="G220" t="s">
        <v>54</v>
      </c>
      <c r="H220" s="576">
        <v>55378</v>
      </c>
      <c r="I220"/>
      <c r="J220" t="s">
        <v>2123</v>
      </c>
      <c r="K220" t="s">
        <v>2124</v>
      </c>
      <c r="L220" t="s">
        <v>1794</v>
      </c>
      <c r="M220"/>
      <c r="N220" t="s">
        <v>54</v>
      </c>
      <c r="O220" s="576">
        <v>55378</v>
      </c>
      <c r="P220"/>
      <c r="Q220">
        <v>9524354150</v>
      </c>
      <c r="R220">
        <v>9524357548</v>
      </c>
      <c r="S220" t="s">
        <v>2108</v>
      </c>
      <c r="T220" t="s">
        <v>2109</v>
      </c>
      <c r="U220" t="s">
        <v>2110</v>
      </c>
      <c r="V220" t="s">
        <v>2111</v>
      </c>
      <c r="W220" t="s">
        <v>749</v>
      </c>
      <c r="X220" t="s">
        <v>2108</v>
      </c>
      <c r="Y220" t="s">
        <v>2109</v>
      </c>
      <c r="Z220" t="s">
        <v>2110</v>
      </c>
      <c r="AA220" t="s">
        <v>2112</v>
      </c>
      <c r="AB220">
        <v>9528988803</v>
      </c>
      <c r="AC220"/>
      <c r="AD220">
        <v>9528359598</v>
      </c>
      <c r="AE220" t="s">
        <v>2111</v>
      </c>
      <c r="AF220" t="s">
        <v>2113</v>
      </c>
      <c r="AG220" t="s">
        <v>1395</v>
      </c>
      <c r="AH220" t="s">
        <v>967</v>
      </c>
      <c r="AI220" t="s">
        <v>744</v>
      </c>
      <c r="AJ220" t="s">
        <v>54</v>
      </c>
      <c r="AK220" s="576">
        <v>55435</v>
      </c>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t="s">
        <v>2114</v>
      </c>
      <c r="BR220" t="s">
        <v>2115</v>
      </c>
      <c r="BS220" t="s">
        <v>2116</v>
      </c>
      <c r="BT220" t="s">
        <v>2117</v>
      </c>
      <c r="BU220">
        <v>9524426141</v>
      </c>
      <c r="BV220"/>
      <c r="BW220">
        <v>9524426154</v>
      </c>
      <c r="BX220" t="s">
        <v>2118</v>
      </c>
      <c r="BY220" t="s">
        <v>2119</v>
      </c>
      <c r="BZ220"/>
      <c r="CA220" t="s">
        <v>1817</v>
      </c>
      <c r="CB220" t="s">
        <v>1819</v>
      </c>
      <c r="CC220" t="s">
        <v>54</v>
      </c>
      <c r="CD220" s="576">
        <v>55387</v>
      </c>
      <c r="CE220"/>
      <c r="CF220" t="s">
        <v>2120</v>
      </c>
      <c r="CG220" t="s">
        <v>2112</v>
      </c>
      <c r="CH220" t="s">
        <v>141</v>
      </c>
      <c r="CI220"/>
      <c r="CJ220"/>
      <c r="CK220"/>
      <c r="CL220"/>
      <c r="CM220">
        <v>1720206428</v>
      </c>
      <c r="CN220">
        <v>2033</v>
      </c>
      <c r="CO220">
        <v>308</v>
      </c>
      <c r="CP220"/>
      <c r="CQ220"/>
      <c r="CR220">
        <v>310</v>
      </c>
      <c r="CS220" t="s">
        <v>788</v>
      </c>
      <c r="CT220">
        <v>12</v>
      </c>
      <c r="CU220"/>
      <c r="CV220"/>
      <c r="CW220"/>
      <c r="CX220"/>
      <c r="CY220"/>
      <c r="CZ220"/>
      <c r="DA220"/>
      <c r="DB220"/>
      <c r="DC220"/>
      <c r="DD220"/>
      <c r="DE220"/>
      <c r="DF220"/>
      <c r="DG220"/>
      <c r="DH220"/>
      <c r="DI220"/>
      <c r="DJ220"/>
      <c r="DK220"/>
      <c r="DL220"/>
      <c r="DM220"/>
      <c r="DN220"/>
      <c r="DO220"/>
      <c r="DP220"/>
      <c r="DQ220"/>
      <c r="DR220"/>
      <c r="DS220"/>
      <c r="DT220"/>
      <c r="DU220"/>
      <c r="DV220"/>
      <c r="DW220"/>
      <c r="DX220"/>
      <c r="DY220"/>
      <c r="DZ220"/>
      <c r="EA220"/>
      <c r="EB220"/>
      <c r="EC220"/>
      <c r="ED220"/>
      <c r="EE220"/>
      <c r="EF220"/>
      <c r="EG220"/>
      <c r="EH220"/>
      <c r="EI220"/>
      <c r="EJ220"/>
      <c r="EK220"/>
      <c r="EL220"/>
      <c r="EM220"/>
      <c r="EN220"/>
      <c r="EO220"/>
      <c r="EP220"/>
      <c r="EQ220"/>
      <c r="ER220">
        <v>103</v>
      </c>
      <c r="ES220"/>
      <c r="ET220"/>
      <c r="EU220"/>
      <c r="EV220" s="439">
        <v>926</v>
      </c>
      <c r="EW220" t="s">
        <v>2898</v>
      </c>
      <c r="EX220" t="s">
        <v>967</v>
      </c>
      <c r="EY220" t="s">
        <v>1832</v>
      </c>
      <c r="EZ220" t="s">
        <v>54</v>
      </c>
      <c r="FA220">
        <v>55435</v>
      </c>
      <c r="FB220"/>
    </row>
    <row r="221" spans="1:158" x14ac:dyDescent="0.2">
      <c r="A221" s="439">
        <v>1101</v>
      </c>
      <c r="B221" t="s">
        <v>2125</v>
      </c>
      <c r="C221" t="s">
        <v>2126</v>
      </c>
      <c r="D221" t="s">
        <v>2127</v>
      </c>
      <c r="E221" t="s">
        <v>2128</v>
      </c>
      <c r="F221" t="s">
        <v>744</v>
      </c>
      <c r="G221" t="s">
        <v>54</v>
      </c>
      <c r="H221" s="576">
        <v>55391</v>
      </c>
      <c r="I221"/>
      <c r="J221" t="s">
        <v>2127</v>
      </c>
      <c r="K221" t="s">
        <v>2128</v>
      </c>
      <c r="L221" t="s">
        <v>2126</v>
      </c>
      <c r="M221"/>
      <c r="N221" t="s">
        <v>54</v>
      </c>
      <c r="O221" s="576">
        <v>55391</v>
      </c>
      <c r="P221"/>
      <c r="Q221">
        <v>9524752266</v>
      </c>
      <c r="R221">
        <v>9524750637</v>
      </c>
      <c r="S221" t="s">
        <v>2108</v>
      </c>
      <c r="T221" t="s">
        <v>2109</v>
      </c>
      <c r="U221" t="s">
        <v>2110</v>
      </c>
      <c r="V221" t="s">
        <v>2111</v>
      </c>
      <c r="W221" t="s">
        <v>749</v>
      </c>
      <c r="X221" t="s">
        <v>2108</v>
      </c>
      <c r="Y221" t="s">
        <v>2109</v>
      </c>
      <c r="Z221" t="s">
        <v>2110</v>
      </c>
      <c r="AA221" t="s">
        <v>2112</v>
      </c>
      <c r="AB221">
        <v>9528988803</v>
      </c>
      <c r="AC221"/>
      <c r="AD221">
        <v>9528359598</v>
      </c>
      <c r="AE221" t="s">
        <v>2111</v>
      </c>
      <c r="AF221" t="s">
        <v>2113</v>
      </c>
      <c r="AG221" t="s">
        <v>1395</v>
      </c>
      <c r="AH221" t="s">
        <v>967</v>
      </c>
      <c r="AI221" t="s">
        <v>744</v>
      </c>
      <c r="AJ221" t="s">
        <v>54</v>
      </c>
      <c r="AK221" s="576">
        <v>55435</v>
      </c>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t="s">
        <v>2114</v>
      </c>
      <c r="BR221" t="s">
        <v>2115</v>
      </c>
      <c r="BS221" t="s">
        <v>2116</v>
      </c>
      <c r="BT221" t="s">
        <v>2117</v>
      </c>
      <c r="BU221">
        <v>9524426141</v>
      </c>
      <c r="BV221"/>
      <c r="BW221">
        <v>9524426154</v>
      </c>
      <c r="BX221" t="s">
        <v>2118</v>
      </c>
      <c r="BY221" t="s">
        <v>2119</v>
      </c>
      <c r="BZ221"/>
      <c r="CA221" t="s">
        <v>1817</v>
      </c>
      <c r="CB221" t="s">
        <v>1819</v>
      </c>
      <c r="CC221" t="s">
        <v>54</v>
      </c>
      <c r="CD221" s="576">
        <v>55387</v>
      </c>
      <c r="CE221"/>
      <c r="CF221" t="s">
        <v>2120</v>
      </c>
      <c r="CG221" t="s">
        <v>2112</v>
      </c>
      <c r="CH221" t="s">
        <v>141</v>
      </c>
      <c r="CI221"/>
      <c r="CJ221"/>
      <c r="CK221"/>
      <c r="CL221"/>
      <c r="CM221">
        <v>1265650956</v>
      </c>
      <c r="CN221">
        <v>2032</v>
      </c>
      <c r="CO221">
        <v>308</v>
      </c>
      <c r="CP221"/>
      <c r="CQ221"/>
      <c r="CR221">
        <v>310</v>
      </c>
      <c r="CS221" t="s">
        <v>788</v>
      </c>
      <c r="CT221">
        <v>12</v>
      </c>
      <c r="CU221"/>
      <c r="CV221"/>
      <c r="CW221"/>
      <c r="CX221"/>
      <c r="CY221"/>
      <c r="CZ221"/>
      <c r="DA221"/>
      <c r="DB221"/>
      <c r="DC221"/>
      <c r="DD221"/>
      <c r="DE221"/>
      <c r="DF221"/>
      <c r="DG221"/>
      <c r="DH221"/>
      <c r="DI221"/>
      <c r="DJ221"/>
      <c r="DK221"/>
      <c r="DL221"/>
      <c r="DM221"/>
      <c r="DN221"/>
      <c r="DO221"/>
      <c r="DP221"/>
      <c r="DQ221"/>
      <c r="DR221"/>
      <c r="DS221"/>
      <c r="DT221"/>
      <c r="DU221"/>
      <c r="DV221"/>
      <c r="DW221"/>
      <c r="DX221"/>
      <c r="DY221"/>
      <c r="DZ221"/>
      <c r="EA221"/>
      <c r="EB221"/>
      <c r="EC221"/>
      <c r="ED221"/>
      <c r="EE221"/>
      <c r="EF221"/>
      <c r="EG221"/>
      <c r="EH221"/>
      <c r="EI221"/>
      <c r="EJ221"/>
      <c r="EK221"/>
      <c r="EL221"/>
      <c r="EM221"/>
      <c r="EN221"/>
      <c r="EO221"/>
      <c r="EP221"/>
      <c r="EQ221"/>
      <c r="ER221">
        <v>103</v>
      </c>
      <c r="ES221"/>
      <c r="ET221"/>
      <c r="EU221"/>
      <c r="EV221" s="439">
        <v>521</v>
      </c>
      <c r="EW221" t="s">
        <v>2899</v>
      </c>
      <c r="EX221" t="s">
        <v>967</v>
      </c>
      <c r="EY221" t="s">
        <v>2900</v>
      </c>
      <c r="EZ221" t="s">
        <v>54</v>
      </c>
      <c r="FA221">
        <v>55435</v>
      </c>
      <c r="FB221"/>
    </row>
    <row r="222" spans="1:158" x14ac:dyDescent="0.2">
      <c r="A222" s="439">
        <v>1966</v>
      </c>
      <c r="B222" t="s">
        <v>2129</v>
      </c>
      <c r="C222" t="s">
        <v>2130</v>
      </c>
      <c r="D222" t="s">
        <v>2131</v>
      </c>
      <c r="E222" t="s">
        <v>824</v>
      </c>
      <c r="F222" t="s">
        <v>2132</v>
      </c>
      <c r="G222" t="s">
        <v>54</v>
      </c>
      <c r="H222" s="576">
        <v>56601</v>
      </c>
      <c r="I222"/>
      <c r="J222" t="s">
        <v>2133</v>
      </c>
      <c r="K222" t="s">
        <v>824</v>
      </c>
      <c r="L222" t="s">
        <v>2130</v>
      </c>
      <c r="M222" t="s">
        <v>2132</v>
      </c>
      <c r="N222" t="s">
        <v>54</v>
      </c>
      <c r="O222" s="576">
        <v>56601</v>
      </c>
      <c r="P222"/>
      <c r="Q222">
        <v>2188291728</v>
      </c>
      <c r="R222">
        <v>2188291729</v>
      </c>
      <c r="S222" t="s">
        <v>2134</v>
      </c>
      <c r="T222" t="s">
        <v>2135</v>
      </c>
      <c r="U222" t="s">
        <v>2136</v>
      </c>
      <c r="V222" t="s">
        <v>2137</v>
      </c>
      <c r="W222" t="s">
        <v>2138</v>
      </c>
      <c r="X222" t="s">
        <v>2134</v>
      </c>
      <c r="Y222" t="s">
        <v>2135</v>
      </c>
      <c r="Z222" t="s">
        <v>2136</v>
      </c>
      <c r="AA222" t="s">
        <v>2139</v>
      </c>
      <c r="AB222">
        <v>2184541823</v>
      </c>
      <c r="AC222"/>
      <c r="AD222">
        <v>2188291729</v>
      </c>
      <c r="AE222" t="s">
        <v>2137</v>
      </c>
      <c r="AF222" t="s">
        <v>2140</v>
      </c>
      <c r="AG222" t="s">
        <v>2141</v>
      </c>
      <c r="AH222" t="s">
        <v>1607</v>
      </c>
      <c r="AI222" t="s">
        <v>727</v>
      </c>
      <c r="AJ222" t="s">
        <v>54</v>
      </c>
      <c r="AK222" s="576">
        <v>56401</v>
      </c>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c r="BR222"/>
      <c r="BS222"/>
      <c r="BT222"/>
      <c r="BU222"/>
      <c r="BV222"/>
      <c r="BW222"/>
      <c r="BX222"/>
      <c r="BY222"/>
      <c r="BZ222"/>
      <c r="CA222"/>
      <c r="CB222"/>
      <c r="CC222"/>
      <c r="CD222"/>
      <c r="CE222"/>
      <c r="CF222" t="s">
        <v>2142</v>
      </c>
      <c r="CG222" t="s">
        <v>2143</v>
      </c>
      <c r="CH222" t="s">
        <v>141</v>
      </c>
      <c r="CI222"/>
      <c r="CJ222"/>
      <c r="CK222"/>
      <c r="CL222"/>
      <c r="CM222">
        <v>1942382379</v>
      </c>
      <c r="CN222">
        <v>2415</v>
      </c>
      <c r="CO222">
        <v>2910</v>
      </c>
      <c r="CP222"/>
      <c r="CQ222"/>
      <c r="CR222"/>
      <c r="CS222" t="s">
        <v>788</v>
      </c>
      <c r="CT222">
        <v>12</v>
      </c>
      <c r="CU222"/>
      <c r="CV222"/>
      <c r="CW222"/>
      <c r="CX222"/>
      <c r="CY222"/>
      <c r="CZ222"/>
      <c r="DA222"/>
      <c r="DB222"/>
      <c r="DC222"/>
      <c r="DD222"/>
      <c r="DE222"/>
      <c r="DF222"/>
      <c r="DG222"/>
      <c r="DH222"/>
      <c r="DI222"/>
      <c r="DJ222"/>
      <c r="DK222"/>
      <c r="DL222"/>
      <c r="DM222"/>
      <c r="DN222"/>
      <c r="DO222"/>
      <c r="DP222"/>
      <c r="DQ222"/>
      <c r="DR222"/>
      <c r="DS222"/>
      <c r="DT222"/>
      <c r="DU222"/>
      <c r="DV222"/>
      <c r="DW222"/>
      <c r="DX222"/>
      <c r="DY222"/>
      <c r="DZ222"/>
      <c r="EA222"/>
      <c r="EB222"/>
      <c r="EC222"/>
      <c r="ED222"/>
      <c r="EE222"/>
      <c r="EF222"/>
      <c r="EG222"/>
      <c r="EH222"/>
      <c r="EI222"/>
      <c r="EJ222"/>
      <c r="EK222"/>
      <c r="EL222"/>
      <c r="EM222"/>
      <c r="EN222"/>
      <c r="EO222"/>
      <c r="EP222"/>
      <c r="EQ222"/>
      <c r="ER222">
        <v>154</v>
      </c>
      <c r="ES222"/>
      <c r="ET222"/>
      <c r="EU222"/>
      <c r="EV222" s="439">
        <v>1948</v>
      </c>
      <c r="EW222" t="s">
        <v>1690</v>
      </c>
      <c r="EX222" t="s">
        <v>967</v>
      </c>
      <c r="EY222" t="s">
        <v>1691</v>
      </c>
      <c r="EZ222" t="s">
        <v>54</v>
      </c>
      <c r="FA222">
        <v>55435</v>
      </c>
      <c r="FB222"/>
    </row>
    <row r="223" spans="1:158" x14ac:dyDescent="0.2">
      <c r="A223" s="439">
        <v>1237</v>
      </c>
      <c r="B223" t="s">
        <v>2144</v>
      </c>
      <c r="C223" t="s">
        <v>1607</v>
      </c>
      <c r="D223" t="s">
        <v>2140</v>
      </c>
      <c r="E223" t="s">
        <v>2141</v>
      </c>
      <c r="F223" t="s">
        <v>727</v>
      </c>
      <c r="G223" t="s">
        <v>54</v>
      </c>
      <c r="H223" s="576">
        <v>56401</v>
      </c>
      <c r="I223"/>
      <c r="J223" t="s">
        <v>2140</v>
      </c>
      <c r="K223" t="s">
        <v>2141</v>
      </c>
      <c r="L223" t="s">
        <v>1607</v>
      </c>
      <c r="M223" t="s">
        <v>727</v>
      </c>
      <c r="N223" t="s">
        <v>54</v>
      </c>
      <c r="O223" s="576">
        <v>56401</v>
      </c>
      <c r="P223"/>
      <c r="Q223">
        <v>2188291728</v>
      </c>
      <c r="R223">
        <v>2188291729</v>
      </c>
      <c r="S223" t="s">
        <v>2134</v>
      </c>
      <c r="T223" t="s">
        <v>2135</v>
      </c>
      <c r="U223" t="s">
        <v>2136</v>
      </c>
      <c r="V223" t="s">
        <v>2145</v>
      </c>
      <c r="W223" t="s">
        <v>2138</v>
      </c>
      <c r="X223" t="s">
        <v>2134</v>
      </c>
      <c r="Y223" t="s">
        <v>2135</v>
      </c>
      <c r="Z223" t="s">
        <v>2136</v>
      </c>
      <c r="AA223" t="s">
        <v>2139</v>
      </c>
      <c r="AB223">
        <v>2184541823</v>
      </c>
      <c r="AC223"/>
      <c r="AD223">
        <v>2188291729</v>
      </c>
      <c r="AE223" t="s">
        <v>2137</v>
      </c>
      <c r="AF223" t="s">
        <v>2140</v>
      </c>
      <c r="AG223" t="s">
        <v>2141</v>
      </c>
      <c r="AH223" t="s">
        <v>1607</v>
      </c>
      <c r="AI223" t="s">
        <v>727</v>
      </c>
      <c r="AJ223" t="s">
        <v>54</v>
      </c>
      <c r="AK223" s="576">
        <v>56401</v>
      </c>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c r="BR223"/>
      <c r="BS223"/>
      <c r="BT223"/>
      <c r="BU223"/>
      <c r="BV223"/>
      <c r="BW223"/>
      <c r="BX223"/>
      <c r="BY223"/>
      <c r="BZ223"/>
      <c r="CA223"/>
      <c r="CB223"/>
      <c r="CC223"/>
      <c r="CD223"/>
      <c r="CE223"/>
      <c r="CF223" t="s">
        <v>2142</v>
      </c>
      <c r="CG223" t="s">
        <v>2143</v>
      </c>
      <c r="CH223" t="s">
        <v>141</v>
      </c>
      <c r="CI223"/>
      <c r="CJ223"/>
      <c r="CK223"/>
      <c r="CL223"/>
      <c r="CM223">
        <v>1942382379</v>
      </c>
      <c r="CN223">
        <v>2180</v>
      </c>
      <c r="CO223">
        <v>2910</v>
      </c>
      <c r="CP223"/>
      <c r="CQ223"/>
      <c r="CR223"/>
      <c r="CS223" t="s">
        <v>788</v>
      </c>
      <c r="CT223">
        <v>12</v>
      </c>
      <c r="CU223"/>
      <c r="CV223"/>
      <c r="CW223"/>
      <c r="CX223"/>
      <c r="CY223"/>
      <c r="CZ223"/>
      <c r="DA223"/>
      <c r="DB223"/>
      <c r="DC223"/>
      <c r="DD223"/>
      <c r="DE223"/>
      <c r="DF223"/>
      <c r="DG223"/>
      <c r="DH223"/>
      <c r="DI223"/>
      <c r="DJ223"/>
      <c r="DK223"/>
      <c r="DL223"/>
      <c r="DM223"/>
      <c r="DN223"/>
      <c r="DO223"/>
      <c r="DP223"/>
      <c r="DQ223"/>
      <c r="DR223"/>
      <c r="DS223"/>
      <c r="DT223"/>
      <c r="DU223"/>
      <c r="DV223"/>
      <c r="DW223"/>
      <c r="DX223"/>
      <c r="DY223"/>
      <c r="DZ223"/>
      <c r="EA223"/>
      <c r="EB223"/>
      <c r="EC223"/>
      <c r="ED223"/>
      <c r="EE223"/>
      <c r="EF223"/>
      <c r="EG223"/>
      <c r="EH223"/>
      <c r="EI223"/>
      <c r="EJ223"/>
      <c r="EK223"/>
      <c r="EL223"/>
      <c r="EM223"/>
      <c r="EN223"/>
      <c r="EO223"/>
      <c r="EP223"/>
      <c r="EQ223"/>
      <c r="ER223">
        <v>154</v>
      </c>
      <c r="ES223"/>
      <c r="ET223"/>
      <c r="EU223"/>
      <c r="EV223" s="439">
        <v>536</v>
      </c>
      <c r="EW223" t="s">
        <v>1831</v>
      </c>
      <c r="EX223" t="s">
        <v>967</v>
      </c>
      <c r="EY223" t="s">
        <v>1832</v>
      </c>
      <c r="EZ223" t="s">
        <v>54</v>
      </c>
      <c r="FA223">
        <v>55435</v>
      </c>
      <c r="FB223">
        <v>1396748307</v>
      </c>
    </row>
    <row r="224" spans="1:158" x14ac:dyDescent="0.2">
      <c r="A224" s="439">
        <v>1967</v>
      </c>
      <c r="B224" t="s">
        <v>2146</v>
      </c>
      <c r="C224" t="s">
        <v>1278</v>
      </c>
      <c r="D224" t="s">
        <v>2147</v>
      </c>
      <c r="E224"/>
      <c r="F224" t="s">
        <v>1280</v>
      </c>
      <c r="G224" t="s">
        <v>54</v>
      </c>
      <c r="H224" s="576">
        <v>56501</v>
      </c>
      <c r="I224"/>
      <c r="J224" t="s">
        <v>2147</v>
      </c>
      <c r="K224"/>
      <c r="L224" t="s">
        <v>1278</v>
      </c>
      <c r="M224" t="s">
        <v>1280</v>
      </c>
      <c r="N224" t="s">
        <v>54</v>
      </c>
      <c r="O224" s="576">
        <v>56501</v>
      </c>
      <c r="P224"/>
      <c r="Q224">
        <v>2188291728</v>
      </c>
      <c r="R224">
        <v>2188291729</v>
      </c>
      <c r="S224" t="s">
        <v>2134</v>
      </c>
      <c r="T224" t="s">
        <v>2135</v>
      </c>
      <c r="U224" t="s">
        <v>2136</v>
      </c>
      <c r="V224" t="s">
        <v>2137</v>
      </c>
      <c r="W224" t="s">
        <v>2138</v>
      </c>
      <c r="X224" t="s">
        <v>2134</v>
      </c>
      <c r="Y224" t="s">
        <v>2135</v>
      </c>
      <c r="Z224" t="s">
        <v>2136</v>
      </c>
      <c r="AA224" t="s">
        <v>2139</v>
      </c>
      <c r="AB224">
        <v>2184541823</v>
      </c>
      <c r="AC224"/>
      <c r="AD224">
        <v>2188291729</v>
      </c>
      <c r="AE224" t="s">
        <v>2137</v>
      </c>
      <c r="AF224" t="s">
        <v>2140</v>
      </c>
      <c r="AG224" t="s">
        <v>2141</v>
      </c>
      <c r="AH224" t="s">
        <v>1607</v>
      </c>
      <c r="AI224" t="s">
        <v>727</v>
      </c>
      <c r="AJ224" t="s">
        <v>54</v>
      </c>
      <c r="AK224" s="576">
        <v>56401</v>
      </c>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c r="BR224"/>
      <c r="BS224"/>
      <c r="BT224"/>
      <c r="BU224"/>
      <c r="BV224"/>
      <c r="BW224"/>
      <c r="BX224"/>
      <c r="BY224"/>
      <c r="BZ224"/>
      <c r="CA224"/>
      <c r="CB224"/>
      <c r="CC224"/>
      <c r="CD224"/>
      <c r="CE224"/>
      <c r="CF224" t="s">
        <v>2142</v>
      </c>
      <c r="CG224" t="s">
        <v>2143</v>
      </c>
      <c r="CH224" t="s">
        <v>141</v>
      </c>
      <c r="CI224"/>
      <c r="CJ224"/>
      <c r="CK224"/>
      <c r="CL224"/>
      <c r="CM224">
        <v>1942382379</v>
      </c>
      <c r="CN224">
        <v>2425</v>
      </c>
      <c r="CO224">
        <v>2910</v>
      </c>
      <c r="CP224"/>
      <c r="CQ224"/>
      <c r="CR224"/>
      <c r="CS224" t="s">
        <v>788</v>
      </c>
      <c r="CT224">
        <v>12</v>
      </c>
      <c r="CU224"/>
      <c r="CV224"/>
      <c r="CW224"/>
      <c r="CX224"/>
      <c r="CY224"/>
      <c r="CZ224"/>
      <c r="DA224"/>
      <c r="DB224"/>
      <c r="DC224"/>
      <c r="DD224"/>
      <c r="DE224"/>
      <c r="DF224"/>
      <c r="DG224"/>
      <c r="DH224"/>
      <c r="DI224"/>
      <c r="DJ224"/>
      <c r="DK224"/>
      <c r="DL224"/>
      <c r="DM224"/>
      <c r="DN224"/>
      <c r="DO224"/>
      <c r="DP224"/>
      <c r="DQ224"/>
      <c r="DR224"/>
      <c r="DS224"/>
      <c r="DT224"/>
      <c r="DU224"/>
      <c r="DV224"/>
      <c r="DW224"/>
      <c r="DX224"/>
      <c r="DY224"/>
      <c r="DZ224"/>
      <c r="EA224"/>
      <c r="EB224"/>
      <c r="EC224"/>
      <c r="ED224"/>
      <c r="EE224"/>
      <c r="EF224"/>
      <c r="EG224"/>
      <c r="EH224"/>
      <c r="EI224"/>
      <c r="EJ224"/>
      <c r="EK224"/>
      <c r="EL224"/>
      <c r="EM224"/>
      <c r="EN224"/>
      <c r="EO224"/>
      <c r="EP224"/>
      <c r="EQ224"/>
      <c r="ER224">
        <v>154</v>
      </c>
      <c r="ES224"/>
      <c r="ET224"/>
      <c r="EU224"/>
      <c r="EV224" s="439">
        <v>322</v>
      </c>
      <c r="EW224" t="s">
        <v>2901</v>
      </c>
      <c r="EX224" t="s">
        <v>967</v>
      </c>
      <c r="EY224" t="s">
        <v>2902</v>
      </c>
      <c r="EZ224" t="s">
        <v>54</v>
      </c>
      <c r="FA224">
        <v>55435</v>
      </c>
      <c r="FB224">
        <v>1437123270</v>
      </c>
    </row>
    <row r="225" spans="1:158" x14ac:dyDescent="0.2">
      <c r="A225" s="439">
        <v>737</v>
      </c>
      <c r="B225" t="s">
        <v>2148</v>
      </c>
      <c r="C225" t="s">
        <v>1020</v>
      </c>
      <c r="D225" t="s">
        <v>2149</v>
      </c>
      <c r="E225" t="s">
        <v>870</v>
      </c>
      <c r="F225" t="s">
        <v>1023</v>
      </c>
      <c r="G225" t="s">
        <v>54</v>
      </c>
      <c r="H225" s="576">
        <v>55805</v>
      </c>
      <c r="I225" s="576">
        <v>2265</v>
      </c>
      <c r="J225" t="s">
        <v>2149</v>
      </c>
      <c r="K225" t="s">
        <v>870</v>
      </c>
      <c r="L225" t="s">
        <v>1020</v>
      </c>
      <c r="M225" t="s">
        <v>1023</v>
      </c>
      <c r="N225" t="s">
        <v>54</v>
      </c>
      <c r="O225" s="576">
        <v>55805</v>
      </c>
      <c r="P225" s="576">
        <v>2265</v>
      </c>
      <c r="Q225">
        <v>2187225513</v>
      </c>
      <c r="R225">
        <v>2186252757</v>
      </c>
      <c r="S225" t="s">
        <v>2150</v>
      </c>
      <c r="T225" t="s">
        <v>2151</v>
      </c>
      <c r="U225" t="s">
        <v>1556</v>
      </c>
      <c r="V225" t="s">
        <v>2152</v>
      </c>
      <c r="W225" t="s">
        <v>2153</v>
      </c>
      <c r="X225" t="s">
        <v>2154</v>
      </c>
      <c r="Y225" t="s">
        <v>2155</v>
      </c>
      <c r="Z225" t="s">
        <v>2156</v>
      </c>
      <c r="AA225" t="s">
        <v>2148</v>
      </c>
      <c r="AB225">
        <v>2186251886</v>
      </c>
      <c r="AC225"/>
      <c r="AD225">
        <v>2186252757</v>
      </c>
      <c r="AE225" t="s">
        <v>2152</v>
      </c>
      <c r="AF225" t="s">
        <v>2149</v>
      </c>
      <c r="AG225" t="s">
        <v>870</v>
      </c>
      <c r="AH225" t="s">
        <v>1020</v>
      </c>
      <c r="AI225" t="s">
        <v>1023</v>
      </c>
      <c r="AJ225" t="s">
        <v>54</v>
      </c>
      <c r="AK225" s="576">
        <v>55805</v>
      </c>
      <c r="AL225" s="576">
        <v>2265</v>
      </c>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t="s">
        <v>2150</v>
      </c>
      <c r="BR225" t="s">
        <v>2151</v>
      </c>
      <c r="BS225" t="s">
        <v>1556</v>
      </c>
      <c r="BT225" t="s">
        <v>2148</v>
      </c>
      <c r="BU225">
        <v>2186251886</v>
      </c>
      <c r="BV225"/>
      <c r="BW225">
        <v>2186252757</v>
      </c>
      <c r="BX225" t="s">
        <v>2152</v>
      </c>
      <c r="BY225" t="s">
        <v>2149</v>
      </c>
      <c r="BZ225" t="s">
        <v>870</v>
      </c>
      <c r="CA225" t="s">
        <v>1020</v>
      </c>
      <c r="CB225" t="s">
        <v>1023</v>
      </c>
      <c r="CC225" t="s">
        <v>54</v>
      </c>
      <c r="CD225" s="576">
        <v>55805</v>
      </c>
      <c r="CE225" s="576">
        <v>2265</v>
      </c>
      <c r="CF225" t="s">
        <v>2157</v>
      </c>
      <c r="CG225" t="s">
        <v>733</v>
      </c>
      <c r="CH225" t="s">
        <v>56</v>
      </c>
      <c r="CI225"/>
      <c r="CJ225"/>
      <c r="CK225"/>
      <c r="CL225"/>
      <c r="CM225">
        <v>1225033715</v>
      </c>
      <c r="CN225">
        <v>303</v>
      </c>
      <c r="CO225">
        <v>222</v>
      </c>
      <c r="CP225"/>
      <c r="CQ225"/>
      <c r="CR225">
        <v>242</v>
      </c>
      <c r="CS225" t="s">
        <v>788</v>
      </c>
      <c r="CT225">
        <v>12</v>
      </c>
      <c r="CU225"/>
      <c r="CV225"/>
      <c r="CW225"/>
      <c r="CX225"/>
      <c r="CY225"/>
      <c r="CZ225"/>
      <c r="DA225"/>
      <c r="DB225"/>
      <c r="DC225"/>
      <c r="DD225"/>
      <c r="DE225"/>
      <c r="DF225"/>
      <c r="DG225"/>
      <c r="DH225"/>
      <c r="DI225"/>
      <c r="DJ225"/>
      <c r="DK225"/>
      <c r="DL225">
        <v>132</v>
      </c>
      <c r="DM225" t="s">
        <v>789</v>
      </c>
      <c r="DN225"/>
      <c r="DO225"/>
      <c r="DP225"/>
      <c r="DQ225"/>
      <c r="DR225"/>
      <c r="DS225"/>
      <c r="DT225"/>
      <c r="DU225"/>
      <c r="DV225"/>
      <c r="DW225"/>
      <c r="DX225"/>
      <c r="DY225"/>
      <c r="DZ225"/>
      <c r="EA225"/>
      <c r="EB225"/>
      <c r="EC225"/>
      <c r="ED225"/>
      <c r="EE225"/>
      <c r="EF225"/>
      <c r="EG225"/>
      <c r="EH225"/>
      <c r="EI225"/>
      <c r="EJ225"/>
      <c r="EK225"/>
      <c r="EL225"/>
      <c r="EM225"/>
      <c r="EN225"/>
      <c r="EO225"/>
      <c r="EP225"/>
      <c r="EQ225"/>
      <c r="ER225">
        <v>0</v>
      </c>
      <c r="ES225"/>
      <c r="ET225"/>
      <c r="EU225"/>
      <c r="EV225" s="439">
        <v>44</v>
      </c>
      <c r="EW225" t="s">
        <v>2903</v>
      </c>
      <c r="EX225" t="s">
        <v>967</v>
      </c>
      <c r="EY225" t="s">
        <v>2904</v>
      </c>
      <c r="EZ225" t="s">
        <v>54</v>
      </c>
      <c r="FA225">
        <v>55435</v>
      </c>
      <c r="FB225">
        <v>1699752915</v>
      </c>
    </row>
    <row r="226" spans="1:158" x14ac:dyDescent="0.2">
      <c r="A226" s="439">
        <v>1437</v>
      </c>
      <c r="B226" t="s">
        <v>2158</v>
      </c>
      <c r="C226" t="s">
        <v>835</v>
      </c>
      <c r="D226" t="s">
        <v>2159</v>
      </c>
      <c r="E226" t="s">
        <v>749</v>
      </c>
      <c r="F226" t="s">
        <v>838</v>
      </c>
      <c r="G226" t="s">
        <v>54</v>
      </c>
      <c r="H226" s="576">
        <v>55125</v>
      </c>
      <c r="I226" t="s">
        <v>749</v>
      </c>
      <c r="J226" t="s">
        <v>2159</v>
      </c>
      <c r="K226" t="s">
        <v>749</v>
      </c>
      <c r="L226" t="s">
        <v>835</v>
      </c>
      <c r="M226" t="s">
        <v>838</v>
      </c>
      <c r="N226" t="s">
        <v>54</v>
      </c>
      <c r="O226" s="576">
        <v>55125</v>
      </c>
      <c r="P226" t="s">
        <v>749</v>
      </c>
      <c r="Q226">
        <v>6517020750</v>
      </c>
      <c r="R226">
        <v>6512870232</v>
      </c>
      <c r="S226" t="s">
        <v>790</v>
      </c>
      <c r="T226" t="s">
        <v>2160</v>
      </c>
      <c r="U226" t="s">
        <v>2161</v>
      </c>
      <c r="V226" t="s">
        <v>2162</v>
      </c>
      <c r="W226" t="s">
        <v>2163</v>
      </c>
      <c r="X226" t="s">
        <v>790</v>
      </c>
      <c r="Y226" t="s">
        <v>2160</v>
      </c>
      <c r="Z226" t="s">
        <v>2161</v>
      </c>
      <c r="AA226" t="s">
        <v>2164</v>
      </c>
      <c r="AB226">
        <v>6515015530</v>
      </c>
      <c r="AC226"/>
      <c r="AD226">
        <v>6512870232</v>
      </c>
      <c r="AE226" t="s">
        <v>2162</v>
      </c>
      <c r="AF226" t="s">
        <v>2159</v>
      </c>
      <c r="AG226" t="s">
        <v>749</v>
      </c>
      <c r="AH226" t="s">
        <v>835</v>
      </c>
      <c r="AI226" t="s">
        <v>838</v>
      </c>
      <c r="AJ226" t="s">
        <v>54</v>
      </c>
      <c r="AK226" s="576">
        <v>55125</v>
      </c>
      <c r="AL226"/>
      <c r="AM226" t="s">
        <v>1554</v>
      </c>
      <c r="AN226" t="s">
        <v>2165</v>
      </c>
      <c r="AO226" t="s">
        <v>2166</v>
      </c>
      <c r="AP226" t="s">
        <v>2164</v>
      </c>
      <c r="AQ226">
        <v>6517020750</v>
      </c>
      <c r="AR226"/>
      <c r="AS226">
        <v>6517701226</v>
      </c>
      <c r="AT226" t="s">
        <v>2167</v>
      </c>
      <c r="AU226" t="s">
        <v>2168</v>
      </c>
      <c r="AV226" t="s">
        <v>2169</v>
      </c>
      <c r="AW226" t="s">
        <v>835</v>
      </c>
      <c r="AX226" t="s">
        <v>838</v>
      </c>
      <c r="AY226" t="s">
        <v>54</v>
      </c>
      <c r="AZ226" s="576">
        <v>55125</v>
      </c>
      <c r="BA226"/>
      <c r="BB226"/>
      <c r="BC226"/>
      <c r="BD226"/>
      <c r="BE226"/>
      <c r="BF226"/>
      <c r="BG226"/>
      <c r="BH226"/>
      <c r="BI226"/>
      <c r="BJ226"/>
      <c r="BK226"/>
      <c r="BL226"/>
      <c r="BM226"/>
      <c r="BN226"/>
      <c r="BO226"/>
      <c r="BP226"/>
      <c r="BQ226"/>
      <c r="BR226"/>
      <c r="BS226"/>
      <c r="BT226"/>
      <c r="BU226"/>
      <c r="BV226"/>
      <c r="BW226"/>
      <c r="BX226"/>
      <c r="BY226"/>
      <c r="BZ226"/>
      <c r="CA226"/>
      <c r="CB226"/>
      <c r="CC226"/>
      <c r="CD226"/>
      <c r="CE226"/>
      <c r="CF226" t="s">
        <v>2170</v>
      </c>
      <c r="CG226" t="s">
        <v>2164</v>
      </c>
      <c r="CH226" t="s">
        <v>141</v>
      </c>
      <c r="CI226"/>
      <c r="CJ226"/>
      <c r="CK226"/>
      <c r="CL226"/>
      <c r="CM226">
        <v>1821195959</v>
      </c>
      <c r="CN226">
        <v>2764</v>
      </c>
      <c r="CO226">
        <v>231</v>
      </c>
      <c r="CP226">
        <v>233</v>
      </c>
      <c r="CQ226"/>
      <c r="CR226"/>
      <c r="CS226" t="s">
        <v>788</v>
      </c>
      <c r="CT226">
        <v>12</v>
      </c>
      <c r="CU226"/>
      <c r="CV226"/>
      <c r="CW226"/>
      <c r="CX226" t="s">
        <v>749</v>
      </c>
      <c r="CY226"/>
      <c r="CZ226" t="s">
        <v>749</v>
      </c>
      <c r="DA226" t="s">
        <v>749</v>
      </c>
      <c r="DB226" t="s">
        <v>749</v>
      </c>
      <c r="DC226" t="s">
        <v>749</v>
      </c>
      <c r="DD226"/>
      <c r="DE226"/>
      <c r="DF226"/>
      <c r="DG226"/>
      <c r="DH226"/>
      <c r="DI226"/>
      <c r="DJ226"/>
      <c r="DK226"/>
      <c r="DL226"/>
      <c r="DM226"/>
      <c r="DN226">
        <v>133</v>
      </c>
      <c r="DO226" t="s">
        <v>863</v>
      </c>
      <c r="DP226"/>
      <c r="DQ226"/>
      <c r="DR226"/>
      <c r="DS226"/>
      <c r="DT226"/>
      <c r="DU226"/>
      <c r="DV226"/>
      <c r="DW226"/>
      <c r="DX226"/>
      <c r="DY226"/>
      <c r="DZ226"/>
      <c r="EA226"/>
      <c r="EB226"/>
      <c r="EC226"/>
      <c r="ED226"/>
      <c r="EE226"/>
      <c r="EF226"/>
      <c r="EG226"/>
      <c r="EH226"/>
      <c r="EI226"/>
      <c r="EJ226"/>
      <c r="EK226"/>
      <c r="EL226"/>
      <c r="EM226"/>
      <c r="EN226"/>
      <c r="EO226"/>
      <c r="EP226"/>
      <c r="EQ226"/>
      <c r="ER226">
        <v>158</v>
      </c>
      <c r="ES226"/>
      <c r="ET226"/>
      <c r="EU226"/>
      <c r="EV226" s="439">
        <v>1165</v>
      </c>
      <c r="EW226" t="s">
        <v>2905</v>
      </c>
      <c r="EX226" t="s">
        <v>967</v>
      </c>
      <c r="EY226" t="s">
        <v>2906</v>
      </c>
      <c r="EZ226" t="s">
        <v>54</v>
      </c>
      <c r="FA226">
        <v>55435</v>
      </c>
      <c r="FB226">
        <v>1992739247</v>
      </c>
    </row>
    <row r="227" spans="1:158" x14ac:dyDescent="0.2">
      <c r="A227" s="439">
        <v>1321</v>
      </c>
      <c r="B227" t="s">
        <v>2171</v>
      </c>
      <c r="C227" t="s">
        <v>822</v>
      </c>
      <c r="D227" t="s">
        <v>2172</v>
      </c>
      <c r="E227"/>
      <c r="F227" t="s">
        <v>746</v>
      </c>
      <c r="G227" t="s">
        <v>54</v>
      </c>
      <c r="H227" s="576">
        <v>55123</v>
      </c>
      <c r="I227"/>
      <c r="J227" t="s">
        <v>2172</v>
      </c>
      <c r="K227"/>
      <c r="L227" t="s">
        <v>822</v>
      </c>
      <c r="M227" t="s">
        <v>746</v>
      </c>
      <c r="N227" t="s">
        <v>54</v>
      </c>
      <c r="O227" s="576">
        <v>55123</v>
      </c>
      <c r="P227"/>
      <c r="Q227">
        <v>6517020750</v>
      </c>
      <c r="R227">
        <v>6512870232</v>
      </c>
      <c r="S227" t="s">
        <v>790</v>
      </c>
      <c r="T227" t="s">
        <v>2160</v>
      </c>
      <c r="U227" t="s">
        <v>2161</v>
      </c>
      <c r="V227" t="s">
        <v>2162</v>
      </c>
      <c r="W227" t="s">
        <v>2163</v>
      </c>
      <c r="X227" t="s">
        <v>790</v>
      </c>
      <c r="Y227" t="s">
        <v>2160</v>
      </c>
      <c r="Z227" t="s">
        <v>2161</v>
      </c>
      <c r="AA227" t="s">
        <v>2164</v>
      </c>
      <c r="AB227">
        <v>6515015530</v>
      </c>
      <c r="AC227"/>
      <c r="AD227">
        <v>6512870232</v>
      </c>
      <c r="AE227" t="s">
        <v>2162</v>
      </c>
      <c r="AF227" t="s">
        <v>2159</v>
      </c>
      <c r="AG227" t="s">
        <v>749</v>
      </c>
      <c r="AH227" t="s">
        <v>835</v>
      </c>
      <c r="AI227" t="s">
        <v>838</v>
      </c>
      <c r="AJ227" t="s">
        <v>54</v>
      </c>
      <c r="AK227" s="576">
        <v>55125</v>
      </c>
      <c r="AL227"/>
      <c r="AM227" t="s">
        <v>1554</v>
      </c>
      <c r="AN227" t="s">
        <v>2165</v>
      </c>
      <c r="AO227" t="s">
        <v>2166</v>
      </c>
      <c r="AP227" t="s">
        <v>2164</v>
      </c>
      <c r="AQ227">
        <v>6517020750</v>
      </c>
      <c r="AR227"/>
      <c r="AS227">
        <v>6517701226</v>
      </c>
      <c r="AT227" t="s">
        <v>2167</v>
      </c>
      <c r="AU227" t="s">
        <v>2168</v>
      </c>
      <c r="AV227" t="s">
        <v>2169</v>
      </c>
      <c r="AW227" t="s">
        <v>835</v>
      </c>
      <c r="AX227" t="s">
        <v>838</v>
      </c>
      <c r="AY227" t="s">
        <v>54</v>
      </c>
      <c r="AZ227" s="576">
        <v>55125</v>
      </c>
      <c r="BA227"/>
      <c r="BB227"/>
      <c r="BC227"/>
      <c r="BD227"/>
      <c r="BE227"/>
      <c r="BF227"/>
      <c r="BG227"/>
      <c r="BH227"/>
      <c r="BI227"/>
      <c r="BJ227"/>
      <c r="BK227"/>
      <c r="BL227"/>
      <c r="BM227"/>
      <c r="BN227"/>
      <c r="BO227"/>
      <c r="BP227"/>
      <c r="BQ227"/>
      <c r="BR227"/>
      <c r="BS227"/>
      <c r="BT227"/>
      <c r="BU227"/>
      <c r="BV227"/>
      <c r="BW227"/>
      <c r="BX227"/>
      <c r="BY227"/>
      <c r="BZ227"/>
      <c r="CA227"/>
      <c r="CB227"/>
      <c r="CC227"/>
      <c r="CD227"/>
      <c r="CE227"/>
      <c r="CF227" t="s">
        <v>2170</v>
      </c>
      <c r="CG227" t="s">
        <v>2164</v>
      </c>
      <c r="CH227" t="s">
        <v>141</v>
      </c>
      <c r="CI227"/>
      <c r="CJ227"/>
      <c r="CK227"/>
      <c r="CL227"/>
      <c r="CM227">
        <v>1821195959</v>
      </c>
      <c r="CN227">
        <v>2282</v>
      </c>
      <c r="CO227">
        <v>231</v>
      </c>
      <c r="CP227">
        <v>233</v>
      </c>
      <c r="CQ227"/>
      <c r="CR227"/>
      <c r="CS227" t="s">
        <v>788</v>
      </c>
      <c r="CT227">
        <v>12</v>
      </c>
      <c r="CU227"/>
      <c r="CV227"/>
      <c r="CW227"/>
      <c r="CX227"/>
      <c r="CY227"/>
      <c r="CZ227"/>
      <c r="DA227"/>
      <c r="DB227"/>
      <c r="DC227"/>
      <c r="DD227"/>
      <c r="DE227"/>
      <c r="DF227"/>
      <c r="DG227"/>
      <c r="DH227"/>
      <c r="DI227"/>
      <c r="DJ227"/>
      <c r="DK227"/>
      <c r="DL227"/>
      <c r="DM227"/>
      <c r="DN227">
        <v>133</v>
      </c>
      <c r="DO227" t="s">
        <v>863</v>
      </c>
      <c r="DP227"/>
      <c r="DQ227"/>
      <c r="DR227"/>
      <c r="DS227"/>
      <c r="DT227"/>
      <c r="DU227"/>
      <c r="DV227"/>
      <c r="DW227"/>
      <c r="DX227"/>
      <c r="DY227"/>
      <c r="DZ227"/>
      <c r="EA227"/>
      <c r="EB227"/>
      <c r="EC227"/>
      <c r="ED227"/>
      <c r="EE227"/>
      <c r="EF227"/>
      <c r="EG227"/>
      <c r="EH227"/>
      <c r="EI227"/>
      <c r="EJ227"/>
      <c r="EK227"/>
      <c r="EL227"/>
      <c r="EM227"/>
      <c r="EN227"/>
      <c r="EO227"/>
      <c r="EP227"/>
      <c r="EQ227"/>
      <c r="ER227">
        <v>158</v>
      </c>
      <c r="ES227"/>
      <c r="ET227"/>
      <c r="EU227"/>
      <c r="EV227" s="439">
        <v>508</v>
      </c>
      <c r="EW227" t="s">
        <v>2907</v>
      </c>
      <c r="EX227" t="s">
        <v>967</v>
      </c>
      <c r="EY227" t="s">
        <v>2908</v>
      </c>
      <c r="EZ227" t="s">
        <v>54</v>
      </c>
      <c r="FA227">
        <v>55439</v>
      </c>
      <c r="FB227"/>
    </row>
    <row r="228" spans="1:158" x14ac:dyDescent="0.2">
      <c r="A228" s="439">
        <v>1385</v>
      </c>
      <c r="B228" t="s">
        <v>2173</v>
      </c>
      <c r="C228" t="s">
        <v>909</v>
      </c>
      <c r="D228" t="s">
        <v>2174</v>
      </c>
      <c r="E228"/>
      <c r="F228" t="s">
        <v>912</v>
      </c>
      <c r="G228" t="s">
        <v>54</v>
      </c>
      <c r="H228" s="576">
        <v>55127</v>
      </c>
      <c r="I228"/>
      <c r="J228" t="s">
        <v>2174</v>
      </c>
      <c r="K228" t="s">
        <v>749</v>
      </c>
      <c r="L228" t="s">
        <v>909</v>
      </c>
      <c r="M228" t="s">
        <v>912</v>
      </c>
      <c r="N228" t="s">
        <v>54</v>
      </c>
      <c r="O228" s="576">
        <v>55127</v>
      </c>
      <c r="P228"/>
      <c r="Q228">
        <v>6517020750</v>
      </c>
      <c r="R228">
        <v>6512870232</v>
      </c>
      <c r="S228" t="s">
        <v>790</v>
      </c>
      <c r="T228" t="s">
        <v>2160</v>
      </c>
      <c r="U228" t="s">
        <v>2161</v>
      </c>
      <c r="V228" t="s">
        <v>2162</v>
      </c>
      <c r="W228" t="s">
        <v>2163</v>
      </c>
      <c r="X228" t="s">
        <v>790</v>
      </c>
      <c r="Y228" t="s">
        <v>2160</v>
      </c>
      <c r="Z228" t="s">
        <v>2161</v>
      </c>
      <c r="AA228" t="s">
        <v>2164</v>
      </c>
      <c r="AB228">
        <v>6515015530</v>
      </c>
      <c r="AC228"/>
      <c r="AD228">
        <v>6512870232</v>
      </c>
      <c r="AE228" t="s">
        <v>2162</v>
      </c>
      <c r="AF228" t="s">
        <v>2159</v>
      </c>
      <c r="AG228" t="s">
        <v>749</v>
      </c>
      <c r="AH228" t="s">
        <v>835</v>
      </c>
      <c r="AI228" t="s">
        <v>838</v>
      </c>
      <c r="AJ228" t="s">
        <v>54</v>
      </c>
      <c r="AK228" s="576">
        <v>55125</v>
      </c>
      <c r="AL228"/>
      <c r="AM228" t="s">
        <v>1554</v>
      </c>
      <c r="AN228" t="s">
        <v>2165</v>
      </c>
      <c r="AO228" t="s">
        <v>2166</v>
      </c>
      <c r="AP228" t="s">
        <v>2164</v>
      </c>
      <c r="AQ228">
        <v>6517020750</v>
      </c>
      <c r="AR228"/>
      <c r="AS228">
        <v>6517701226</v>
      </c>
      <c r="AT228" t="s">
        <v>2167</v>
      </c>
      <c r="AU228" t="s">
        <v>2168</v>
      </c>
      <c r="AV228" t="s">
        <v>2169</v>
      </c>
      <c r="AW228" t="s">
        <v>835</v>
      </c>
      <c r="AX228" t="s">
        <v>838</v>
      </c>
      <c r="AY228" t="s">
        <v>54</v>
      </c>
      <c r="AZ228" s="576">
        <v>55125</v>
      </c>
      <c r="BA228"/>
      <c r="BB228"/>
      <c r="BC228"/>
      <c r="BD228"/>
      <c r="BE228"/>
      <c r="BF228"/>
      <c r="BG228"/>
      <c r="BH228"/>
      <c r="BI228"/>
      <c r="BJ228"/>
      <c r="BK228"/>
      <c r="BL228"/>
      <c r="BM228"/>
      <c r="BN228"/>
      <c r="BO228"/>
      <c r="BP228"/>
      <c r="BQ228"/>
      <c r="BR228"/>
      <c r="BS228"/>
      <c r="BT228"/>
      <c r="BU228"/>
      <c r="BV228"/>
      <c r="BW228"/>
      <c r="BX228"/>
      <c r="BY228"/>
      <c r="BZ228"/>
      <c r="CA228"/>
      <c r="CB228"/>
      <c r="CC228"/>
      <c r="CD228"/>
      <c r="CE228"/>
      <c r="CF228" t="s">
        <v>2170</v>
      </c>
      <c r="CG228" t="s">
        <v>2164</v>
      </c>
      <c r="CH228" t="s">
        <v>141</v>
      </c>
      <c r="CI228"/>
      <c r="CJ228"/>
      <c r="CK228"/>
      <c r="CL228"/>
      <c r="CM228">
        <v>1821195959</v>
      </c>
      <c r="CN228">
        <v>232</v>
      </c>
      <c r="CO228">
        <v>231</v>
      </c>
      <c r="CP228">
        <v>233</v>
      </c>
      <c r="CQ228"/>
      <c r="CR228"/>
      <c r="CS228" t="s">
        <v>788</v>
      </c>
      <c r="CT228">
        <v>12</v>
      </c>
      <c r="CU228"/>
      <c r="CV228"/>
      <c r="CW228"/>
      <c r="CX228"/>
      <c r="CY228"/>
      <c r="CZ228"/>
      <c r="DA228"/>
      <c r="DB228"/>
      <c r="DC228"/>
      <c r="DD228"/>
      <c r="DE228"/>
      <c r="DF228"/>
      <c r="DG228"/>
      <c r="DH228"/>
      <c r="DI228"/>
      <c r="DJ228"/>
      <c r="DK228"/>
      <c r="DL228"/>
      <c r="DM228"/>
      <c r="DN228">
        <v>133</v>
      </c>
      <c r="DO228" t="s">
        <v>863</v>
      </c>
      <c r="DP228"/>
      <c r="DQ228"/>
      <c r="DR228"/>
      <c r="DS228"/>
      <c r="DT228"/>
      <c r="DU228"/>
      <c r="DV228"/>
      <c r="DW228"/>
      <c r="DX228"/>
      <c r="DY228"/>
      <c r="DZ228"/>
      <c r="EA228"/>
      <c r="EB228"/>
      <c r="EC228"/>
      <c r="ED228"/>
      <c r="EE228"/>
      <c r="EF228"/>
      <c r="EG228"/>
      <c r="EH228"/>
      <c r="EI228"/>
      <c r="EJ228"/>
      <c r="EK228"/>
      <c r="EL228"/>
      <c r="EM228"/>
      <c r="EN228"/>
      <c r="EO228"/>
      <c r="EP228"/>
      <c r="EQ228"/>
      <c r="ER228">
        <v>158</v>
      </c>
      <c r="ES228"/>
      <c r="ET228"/>
      <c r="EU228"/>
      <c r="EV228" s="439">
        <v>707</v>
      </c>
      <c r="EW228" t="s">
        <v>2004</v>
      </c>
      <c r="EX228" t="s">
        <v>967</v>
      </c>
      <c r="EY228" t="s">
        <v>2003</v>
      </c>
      <c r="EZ228" t="s">
        <v>54</v>
      </c>
      <c r="FA228">
        <v>55435</v>
      </c>
      <c r="FB228">
        <v>1962598920</v>
      </c>
    </row>
    <row r="229" spans="1:158" x14ac:dyDescent="0.2">
      <c r="A229" s="439">
        <v>515</v>
      </c>
      <c r="B229" t="s">
        <v>2175</v>
      </c>
      <c r="C229" t="s">
        <v>1105</v>
      </c>
      <c r="D229" t="s">
        <v>2176</v>
      </c>
      <c r="E229"/>
      <c r="F229" t="s">
        <v>746</v>
      </c>
      <c r="G229" t="s">
        <v>54</v>
      </c>
      <c r="H229" s="576">
        <v>55337</v>
      </c>
      <c r="I229"/>
      <c r="J229" t="s">
        <v>2176</v>
      </c>
      <c r="K229"/>
      <c r="L229" t="s">
        <v>1105</v>
      </c>
      <c r="M229" t="s">
        <v>746</v>
      </c>
      <c r="N229" t="s">
        <v>54</v>
      </c>
      <c r="O229" s="576">
        <v>55337</v>
      </c>
      <c r="P229"/>
      <c r="Q229">
        <v>9529938673</v>
      </c>
      <c r="R229">
        <v>9529930388</v>
      </c>
      <c r="S229" t="s">
        <v>2177</v>
      </c>
      <c r="T229" t="s">
        <v>2178</v>
      </c>
      <c r="U229" t="s">
        <v>2179</v>
      </c>
      <c r="V229" t="s">
        <v>2180</v>
      </c>
      <c r="W229" t="s">
        <v>2181</v>
      </c>
      <c r="X229" t="s">
        <v>790</v>
      </c>
      <c r="Y229" t="s">
        <v>2182</v>
      </c>
      <c r="Z229" t="s">
        <v>2183</v>
      </c>
      <c r="AA229" t="s">
        <v>2184</v>
      </c>
      <c r="AB229">
        <v>9529935533</v>
      </c>
      <c r="AC229"/>
      <c r="AD229">
        <v>9529936531</v>
      </c>
      <c r="AE229" t="s">
        <v>2185</v>
      </c>
      <c r="AF229" t="s">
        <v>2186</v>
      </c>
      <c r="AG229"/>
      <c r="AH229" t="s">
        <v>871</v>
      </c>
      <c r="AI229" t="s">
        <v>744</v>
      </c>
      <c r="AJ229" t="s">
        <v>54</v>
      </c>
      <c r="AK229" s="576">
        <v>55426</v>
      </c>
      <c r="AL229"/>
      <c r="AM229" t="s">
        <v>1057</v>
      </c>
      <c r="AN229" t="s">
        <v>2187</v>
      </c>
      <c r="AO229" t="s">
        <v>2188</v>
      </c>
      <c r="AP229" t="s">
        <v>2184</v>
      </c>
      <c r="AQ229">
        <v>9529933646</v>
      </c>
      <c r="AR229"/>
      <c r="AS229">
        <v>9529930388</v>
      </c>
      <c r="AT229" t="s">
        <v>2189</v>
      </c>
      <c r="AU229" t="s">
        <v>2186</v>
      </c>
      <c r="AV229"/>
      <c r="AW229" t="s">
        <v>871</v>
      </c>
      <c r="AX229" t="s">
        <v>744</v>
      </c>
      <c r="AY229" t="s">
        <v>54</v>
      </c>
      <c r="AZ229" s="576">
        <v>55426</v>
      </c>
      <c r="BA229"/>
      <c r="BB229" t="s">
        <v>2190</v>
      </c>
      <c r="BC229" t="s">
        <v>2191</v>
      </c>
      <c r="BD229" t="s">
        <v>1160</v>
      </c>
      <c r="BE229" t="s">
        <v>2184</v>
      </c>
      <c r="BF229">
        <v>9529934269</v>
      </c>
      <c r="BG229"/>
      <c r="BH229">
        <v>9529936531</v>
      </c>
      <c r="BI229" t="s">
        <v>2192</v>
      </c>
      <c r="BJ229" t="s">
        <v>2186</v>
      </c>
      <c r="BK229"/>
      <c r="BL229" t="s">
        <v>871</v>
      </c>
      <c r="BM229" t="s">
        <v>744</v>
      </c>
      <c r="BN229" t="s">
        <v>54</v>
      </c>
      <c r="BO229" s="576">
        <v>55426</v>
      </c>
      <c r="BP229"/>
      <c r="BQ229" t="s">
        <v>2193</v>
      </c>
      <c r="BR229" t="s">
        <v>2194</v>
      </c>
      <c r="BS229" t="s">
        <v>2195</v>
      </c>
      <c r="BT229" t="s">
        <v>2196</v>
      </c>
      <c r="BU229">
        <v>9529939255</v>
      </c>
      <c r="BV229"/>
      <c r="BW229">
        <v>9529931808</v>
      </c>
      <c r="BX229" t="s">
        <v>2197</v>
      </c>
      <c r="BY229" t="s">
        <v>2198</v>
      </c>
      <c r="BZ229"/>
      <c r="CA229" t="s">
        <v>871</v>
      </c>
      <c r="CB229" t="s">
        <v>744</v>
      </c>
      <c r="CC229" t="s">
        <v>54</v>
      </c>
      <c r="CD229" s="576">
        <v>55426</v>
      </c>
      <c r="CE229"/>
      <c r="CF229"/>
      <c r="CG229" t="s">
        <v>2196</v>
      </c>
      <c r="CH229" t="s">
        <v>141</v>
      </c>
      <c r="CI229"/>
      <c r="CJ229"/>
      <c r="CK229"/>
      <c r="CL229"/>
      <c r="CM229">
        <v>1780621904</v>
      </c>
      <c r="CN229">
        <v>342</v>
      </c>
      <c r="CO229">
        <v>156</v>
      </c>
      <c r="CP229">
        <v>3173</v>
      </c>
      <c r="CQ229">
        <v>3179</v>
      </c>
      <c r="CR229">
        <v>3174</v>
      </c>
      <c r="CS229" t="s">
        <v>788</v>
      </c>
      <c r="CT229">
        <v>12</v>
      </c>
      <c r="CU229"/>
      <c r="CV229"/>
      <c r="CW229"/>
      <c r="CX229"/>
      <c r="CY229"/>
      <c r="CZ229"/>
      <c r="DA229"/>
      <c r="DB229"/>
      <c r="DC229"/>
      <c r="DD229">
        <v>128</v>
      </c>
      <c r="DE229" t="s">
        <v>2199</v>
      </c>
      <c r="DF229"/>
      <c r="DG229"/>
      <c r="DH229">
        <v>129</v>
      </c>
      <c r="DI229" t="s">
        <v>2200</v>
      </c>
      <c r="DJ229"/>
      <c r="DK229"/>
      <c r="DL229"/>
      <c r="DM229"/>
      <c r="DN229"/>
      <c r="DO229"/>
      <c r="DP229"/>
      <c r="DQ229"/>
      <c r="DR229"/>
      <c r="DS229"/>
      <c r="DT229"/>
      <c r="DU229"/>
      <c r="DV229"/>
      <c r="DW229"/>
      <c r="DX229"/>
      <c r="DY229"/>
      <c r="DZ229"/>
      <c r="EA229"/>
      <c r="EB229"/>
      <c r="EC229"/>
      <c r="ED229"/>
      <c r="EE229"/>
      <c r="EF229"/>
      <c r="EG229"/>
      <c r="EH229"/>
      <c r="EI229"/>
      <c r="EJ229"/>
      <c r="EK229"/>
      <c r="EL229"/>
      <c r="EM229"/>
      <c r="EN229"/>
      <c r="EO229"/>
      <c r="EP229"/>
      <c r="EQ229"/>
      <c r="ER229">
        <v>22</v>
      </c>
      <c r="ES229"/>
      <c r="ET229"/>
      <c r="EU229"/>
      <c r="EV229" s="439">
        <v>344</v>
      </c>
      <c r="EW229" t="s">
        <v>2909</v>
      </c>
      <c r="EX229" t="s">
        <v>967</v>
      </c>
      <c r="EY229" t="s">
        <v>2910</v>
      </c>
      <c r="EZ229" t="s">
        <v>54</v>
      </c>
      <c r="FA229">
        <v>55435</v>
      </c>
      <c r="FB229">
        <v>1164852455</v>
      </c>
    </row>
    <row r="230" spans="1:158" x14ac:dyDescent="0.2">
      <c r="A230" s="439">
        <v>550</v>
      </c>
      <c r="B230" t="s">
        <v>2201</v>
      </c>
      <c r="C230" t="s">
        <v>829</v>
      </c>
      <c r="D230" t="s">
        <v>2202</v>
      </c>
      <c r="E230"/>
      <c r="F230" t="s">
        <v>744</v>
      </c>
      <c r="G230" t="s">
        <v>54</v>
      </c>
      <c r="H230" s="576">
        <v>55369</v>
      </c>
      <c r="I230"/>
      <c r="J230" t="s">
        <v>2202</v>
      </c>
      <c r="K230"/>
      <c r="L230" t="s">
        <v>829</v>
      </c>
      <c r="M230" t="s">
        <v>744</v>
      </c>
      <c r="N230" t="s">
        <v>54</v>
      </c>
      <c r="O230" s="576">
        <v>55369</v>
      </c>
      <c r="P230"/>
      <c r="Q230">
        <v>9529931360</v>
      </c>
      <c r="R230">
        <v>9529930388</v>
      </c>
      <c r="S230" t="s">
        <v>2177</v>
      </c>
      <c r="T230" t="s">
        <v>2178</v>
      </c>
      <c r="U230" t="s">
        <v>2179</v>
      </c>
      <c r="V230" t="s">
        <v>2180</v>
      </c>
      <c r="W230" t="s">
        <v>2181</v>
      </c>
      <c r="X230" t="s">
        <v>790</v>
      </c>
      <c r="Y230" t="s">
        <v>2182</v>
      </c>
      <c r="Z230" t="s">
        <v>2183</v>
      </c>
      <c r="AA230" t="s">
        <v>2184</v>
      </c>
      <c r="AB230">
        <v>9529935533</v>
      </c>
      <c r="AC230"/>
      <c r="AD230">
        <v>9529936531</v>
      </c>
      <c r="AE230" t="s">
        <v>2185</v>
      </c>
      <c r="AF230" t="s">
        <v>2186</v>
      </c>
      <c r="AG230"/>
      <c r="AH230" t="s">
        <v>871</v>
      </c>
      <c r="AI230" t="s">
        <v>744</v>
      </c>
      <c r="AJ230" t="s">
        <v>54</v>
      </c>
      <c r="AK230" s="576">
        <v>55426</v>
      </c>
      <c r="AL230"/>
      <c r="AM230" t="s">
        <v>1057</v>
      </c>
      <c r="AN230" t="s">
        <v>2187</v>
      </c>
      <c r="AO230" t="s">
        <v>2188</v>
      </c>
      <c r="AP230" t="s">
        <v>2184</v>
      </c>
      <c r="AQ230">
        <v>9529933646</v>
      </c>
      <c r="AR230"/>
      <c r="AS230">
        <v>9529930388</v>
      </c>
      <c r="AT230" t="s">
        <v>2189</v>
      </c>
      <c r="AU230" t="s">
        <v>2186</v>
      </c>
      <c r="AV230"/>
      <c r="AW230" t="s">
        <v>871</v>
      </c>
      <c r="AX230" t="s">
        <v>744</v>
      </c>
      <c r="AY230" t="s">
        <v>54</v>
      </c>
      <c r="AZ230" s="576">
        <v>55426</v>
      </c>
      <c r="BA230"/>
      <c r="BB230" t="s">
        <v>2190</v>
      </c>
      <c r="BC230" t="s">
        <v>2191</v>
      </c>
      <c r="BD230" t="s">
        <v>1160</v>
      </c>
      <c r="BE230" t="s">
        <v>2184</v>
      </c>
      <c r="BF230">
        <v>9529934269</v>
      </c>
      <c r="BG230"/>
      <c r="BH230">
        <v>9529936531</v>
      </c>
      <c r="BI230" t="s">
        <v>2192</v>
      </c>
      <c r="BJ230" t="s">
        <v>2186</v>
      </c>
      <c r="BK230"/>
      <c r="BL230" t="s">
        <v>871</v>
      </c>
      <c r="BM230" t="s">
        <v>744</v>
      </c>
      <c r="BN230" t="s">
        <v>54</v>
      </c>
      <c r="BO230" s="576">
        <v>55426</v>
      </c>
      <c r="BP230"/>
      <c r="BQ230" t="s">
        <v>2193</v>
      </c>
      <c r="BR230" t="s">
        <v>2194</v>
      </c>
      <c r="BS230" t="s">
        <v>2195</v>
      </c>
      <c r="BT230" t="s">
        <v>2196</v>
      </c>
      <c r="BU230">
        <v>9529939255</v>
      </c>
      <c r="BV230"/>
      <c r="BW230">
        <v>9529931808</v>
      </c>
      <c r="BX230" t="s">
        <v>2197</v>
      </c>
      <c r="BY230" t="s">
        <v>2198</v>
      </c>
      <c r="BZ230"/>
      <c r="CA230" t="s">
        <v>871</v>
      </c>
      <c r="CB230" t="s">
        <v>744</v>
      </c>
      <c r="CC230" t="s">
        <v>54</v>
      </c>
      <c r="CD230" s="576">
        <v>55426</v>
      </c>
      <c r="CE230"/>
      <c r="CF230"/>
      <c r="CG230" t="s">
        <v>2196</v>
      </c>
      <c r="CH230" t="s">
        <v>141</v>
      </c>
      <c r="CI230"/>
      <c r="CJ230"/>
      <c r="CK230"/>
      <c r="CL230"/>
      <c r="CM230">
        <v>1780621904</v>
      </c>
      <c r="CN230">
        <v>344</v>
      </c>
      <c r="CO230">
        <v>156</v>
      </c>
      <c r="CP230">
        <v>3173</v>
      </c>
      <c r="CQ230">
        <v>3179</v>
      </c>
      <c r="CR230">
        <v>3174</v>
      </c>
      <c r="CS230" t="s">
        <v>788</v>
      </c>
      <c r="CT230">
        <v>12</v>
      </c>
      <c r="CU230"/>
      <c r="CV230"/>
      <c r="CW230"/>
      <c r="CX230"/>
      <c r="CY230"/>
      <c r="CZ230"/>
      <c r="DA230"/>
      <c r="DB230"/>
      <c r="DC230"/>
      <c r="DD230">
        <v>128</v>
      </c>
      <c r="DE230" t="s">
        <v>2203</v>
      </c>
      <c r="DF230"/>
      <c r="DG230"/>
      <c r="DH230">
        <v>129</v>
      </c>
      <c r="DI230" t="s">
        <v>2204</v>
      </c>
      <c r="DJ230"/>
      <c r="DK230"/>
      <c r="DL230"/>
      <c r="DM230"/>
      <c r="DN230"/>
      <c r="DO230"/>
      <c r="DP230"/>
      <c r="DQ230"/>
      <c r="DR230"/>
      <c r="DS230"/>
      <c r="DT230"/>
      <c r="DU230"/>
      <c r="DV230"/>
      <c r="DW230"/>
      <c r="DX230"/>
      <c r="DY230"/>
      <c r="DZ230"/>
      <c r="EA230"/>
      <c r="EB230"/>
      <c r="EC230"/>
      <c r="ED230"/>
      <c r="EE230"/>
      <c r="EF230"/>
      <c r="EG230"/>
      <c r="EH230"/>
      <c r="EI230"/>
      <c r="EJ230"/>
      <c r="EK230"/>
      <c r="EL230"/>
      <c r="EM230"/>
      <c r="EN230"/>
      <c r="EO230"/>
      <c r="EP230"/>
      <c r="EQ230"/>
      <c r="ER230">
        <v>22</v>
      </c>
      <c r="ES230"/>
      <c r="ET230"/>
      <c r="EU230"/>
      <c r="EV230" s="439">
        <v>675</v>
      </c>
      <c r="EW230" t="s">
        <v>2121</v>
      </c>
      <c r="EX230" t="s">
        <v>967</v>
      </c>
      <c r="EY230" t="s">
        <v>2113</v>
      </c>
      <c r="EZ230" t="s">
        <v>54</v>
      </c>
      <c r="FA230">
        <v>55435</v>
      </c>
      <c r="FB230">
        <v>1619049921</v>
      </c>
    </row>
    <row r="231" spans="1:158" x14ac:dyDescent="0.2">
      <c r="A231" s="439">
        <v>575</v>
      </c>
      <c r="B231" t="s">
        <v>2205</v>
      </c>
      <c r="C231" t="s">
        <v>871</v>
      </c>
      <c r="D231" t="s">
        <v>2206</v>
      </c>
      <c r="E231"/>
      <c r="F231" t="s">
        <v>744</v>
      </c>
      <c r="G231" t="s">
        <v>54</v>
      </c>
      <c r="H231" s="576">
        <v>55416</v>
      </c>
      <c r="I231"/>
      <c r="J231" t="s">
        <v>2206</v>
      </c>
      <c r="K231"/>
      <c r="L231" t="s">
        <v>871</v>
      </c>
      <c r="M231" t="s">
        <v>744</v>
      </c>
      <c r="N231" t="s">
        <v>54</v>
      </c>
      <c r="O231" s="576">
        <v>55416</v>
      </c>
      <c r="P231"/>
      <c r="Q231">
        <v>9529931785</v>
      </c>
      <c r="R231">
        <v>9529930388</v>
      </c>
      <c r="S231" t="s">
        <v>2177</v>
      </c>
      <c r="T231" t="s">
        <v>2178</v>
      </c>
      <c r="U231" t="s">
        <v>2179</v>
      </c>
      <c r="V231" t="s">
        <v>2180</v>
      </c>
      <c r="W231" t="s">
        <v>2181</v>
      </c>
      <c r="X231" t="s">
        <v>790</v>
      </c>
      <c r="Y231" t="s">
        <v>2182</v>
      </c>
      <c r="Z231" t="s">
        <v>2183</v>
      </c>
      <c r="AA231" t="s">
        <v>2184</v>
      </c>
      <c r="AB231">
        <v>9529935533</v>
      </c>
      <c r="AC231"/>
      <c r="AD231">
        <v>9529936531</v>
      </c>
      <c r="AE231" t="s">
        <v>2185</v>
      </c>
      <c r="AF231" t="s">
        <v>2186</v>
      </c>
      <c r="AG231"/>
      <c r="AH231" t="s">
        <v>871</v>
      </c>
      <c r="AI231" t="s">
        <v>744</v>
      </c>
      <c r="AJ231" t="s">
        <v>54</v>
      </c>
      <c r="AK231" s="576">
        <v>55426</v>
      </c>
      <c r="AL231"/>
      <c r="AM231" t="s">
        <v>1057</v>
      </c>
      <c r="AN231" t="s">
        <v>2187</v>
      </c>
      <c r="AO231" t="s">
        <v>2188</v>
      </c>
      <c r="AP231" t="s">
        <v>2184</v>
      </c>
      <c r="AQ231">
        <v>9529933646</v>
      </c>
      <c r="AR231"/>
      <c r="AS231">
        <v>9529930388</v>
      </c>
      <c r="AT231" t="s">
        <v>2189</v>
      </c>
      <c r="AU231" t="s">
        <v>2186</v>
      </c>
      <c r="AV231"/>
      <c r="AW231" t="s">
        <v>871</v>
      </c>
      <c r="AX231" t="s">
        <v>744</v>
      </c>
      <c r="AY231" t="s">
        <v>54</v>
      </c>
      <c r="AZ231" s="576">
        <v>55426</v>
      </c>
      <c r="BA231"/>
      <c r="BB231" t="s">
        <v>2190</v>
      </c>
      <c r="BC231" t="s">
        <v>2191</v>
      </c>
      <c r="BD231" t="s">
        <v>1160</v>
      </c>
      <c r="BE231" t="s">
        <v>2184</v>
      </c>
      <c r="BF231">
        <v>9529934269</v>
      </c>
      <c r="BG231"/>
      <c r="BH231">
        <v>9529936531</v>
      </c>
      <c r="BI231" t="s">
        <v>2192</v>
      </c>
      <c r="BJ231" t="s">
        <v>2186</v>
      </c>
      <c r="BK231"/>
      <c r="BL231" t="s">
        <v>871</v>
      </c>
      <c r="BM231" t="s">
        <v>744</v>
      </c>
      <c r="BN231" t="s">
        <v>54</v>
      </c>
      <c r="BO231" s="576">
        <v>55426</v>
      </c>
      <c r="BP231"/>
      <c r="BQ231" t="s">
        <v>2193</v>
      </c>
      <c r="BR231" t="s">
        <v>2194</v>
      </c>
      <c r="BS231" t="s">
        <v>2195</v>
      </c>
      <c r="BT231" t="s">
        <v>2196</v>
      </c>
      <c r="BU231">
        <v>9529939255</v>
      </c>
      <c r="BV231"/>
      <c r="BW231">
        <v>9529931808</v>
      </c>
      <c r="BX231" t="s">
        <v>2197</v>
      </c>
      <c r="BY231" t="s">
        <v>2198</v>
      </c>
      <c r="BZ231"/>
      <c r="CA231" t="s">
        <v>871</v>
      </c>
      <c r="CB231" t="s">
        <v>744</v>
      </c>
      <c r="CC231" t="s">
        <v>54</v>
      </c>
      <c r="CD231" s="576">
        <v>55426</v>
      </c>
      <c r="CE231"/>
      <c r="CF231"/>
      <c r="CG231" t="s">
        <v>2196</v>
      </c>
      <c r="CH231" t="s">
        <v>141</v>
      </c>
      <c r="CI231"/>
      <c r="CJ231"/>
      <c r="CK231"/>
      <c r="CL231"/>
      <c r="CM231">
        <v>1780621904</v>
      </c>
      <c r="CN231">
        <v>345</v>
      </c>
      <c r="CO231">
        <v>156</v>
      </c>
      <c r="CP231">
        <v>3173</v>
      </c>
      <c r="CQ231">
        <v>3179</v>
      </c>
      <c r="CR231">
        <v>3174</v>
      </c>
      <c r="CS231" t="s">
        <v>788</v>
      </c>
      <c r="CT231">
        <v>12</v>
      </c>
      <c r="CU231"/>
      <c r="CV231"/>
      <c r="CW231"/>
      <c r="CX231"/>
      <c r="CY231"/>
      <c r="CZ231"/>
      <c r="DA231"/>
      <c r="DB231"/>
      <c r="DC231"/>
      <c r="DD231">
        <v>128</v>
      </c>
      <c r="DE231" t="s">
        <v>2207</v>
      </c>
      <c r="DF231"/>
      <c r="DG231"/>
      <c r="DH231">
        <v>129</v>
      </c>
      <c r="DI231" t="s">
        <v>1925</v>
      </c>
      <c r="DJ231"/>
      <c r="DK231"/>
      <c r="DL231"/>
      <c r="DM231"/>
      <c r="DN231"/>
      <c r="DO231"/>
      <c r="DP231"/>
      <c r="DQ231"/>
      <c r="DR231"/>
      <c r="DS231"/>
      <c r="DT231"/>
      <c r="DU231"/>
      <c r="DV231"/>
      <c r="DW231"/>
      <c r="DX231"/>
      <c r="DY231"/>
      <c r="DZ231"/>
      <c r="EA231"/>
      <c r="EB231"/>
      <c r="EC231"/>
      <c r="ED231"/>
      <c r="EE231"/>
      <c r="EF231"/>
      <c r="EG231"/>
      <c r="EH231"/>
      <c r="EI231"/>
      <c r="EJ231"/>
      <c r="EK231"/>
      <c r="EL231"/>
      <c r="EM231"/>
      <c r="EN231"/>
      <c r="EO231"/>
      <c r="EP231"/>
      <c r="EQ231"/>
      <c r="ER231">
        <v>22</v>
      </c>
      <c r="ES231"/>
      <c r="ET231"/>
      <c r="EU231"/>
      <c r="EV231" s="439">
        <v>821</v>
      </c>
      <c r="EW231" t="s">
        <v>2212</v>
      </c>
      <c r="EX231" t="s">
        <v>967</v>
      </c>
      <c r="EY231" t="s">
        <v>2911</v>
      </c>
      <c r="EZ231" t="s">
        <v>54</v>
      </c>
      <c r="FA231">
        <v>55435</v>
      </c>
      <c r="FB231"/>
    </row>
    <row r="232" spans="1:158" x14ac:dyDescent="0.2">
      <c r="A232" s="439">
        <v>592</v>
      </c>
      <c r="B232" t="s">
        <v>2208</v>
      </c>
      <c r="C232" t="s">
        <v>2126</v>
      </c>
      <c r="D232" t="s">
        <v>2209</v>
      </c>
      <c r="E232" t="s">
        <v>1711</v>
      </c>
      <c r="F232" t="s">
        <v>744</v>
      </c>
      <c r="G232" t="s">
        <v>54</v>
      </c>
      <c r="H232" s="576">
        <v>55391</v>
      </c>
      <c r="I232"/>
      <c r="J232" t="s">
        <v>2209</v>
      </c>
      <c r="K232" t="s">
        <v>1711</v>
      </c>
      <c r="L232" t="s">
        <v>2126</v>
      </c>
      <c r="M232" t="s">
        <v>744</v>
      </c>
      <c r="N232" t="s">
        <v>54</v>
      </c>
      <c r="O232" s="576">
        <v>55391</v>
      </c>
      <c r="P232"/>
      <c r="Q232">
        <v>9523398290</v>
      </c>
      <c r="R232">
        <v>9529930388</v>
      </c>
      <c r="S232" t="s">
        <v>2177</v>
      </c>
      <c r="T232" t="s">
        <v>2178</v>
      </c>
      <c r="U232" t="s">
        <v>2179</v>
      </c>
      <c r="V232" t="s">
        <v>2180</v>
      </c>
      <c r="W232" t="s">
        <v>2181</v>
      </c>
      <c r="X232" t="s">
        <v>790</v>
      </c>
      <c r="Y232" t="s">
        <v>2182</v>
      </c>
      <c r="Z232" t="s">
        <v>2183</v>
      </c>
      <c r="AA232" t="s">
        <v>2184</v>
      </c>
      <c r="AB232">
        <v>9529935533</v>
      </c>
      <c r="AC232"/>
      <c r="AD232">
        <v>9529936531</v>
      </c>
      <c r="AE232" t="s">
        <v>2185</v>
      </c>
      <c r="AF232" t="s">
        <v>2186</v>
      </c>
      <c r="AG232"/>
      <c r="AH232" t="s">
        <v>871</v>
      </c>
      <c r="AI232" t="s">
        <v>744</v>
      </c>
      <c r="AJ232" t="s">
        <v>54</v>
      </c>
      <c r="AK232" s="576">
        <v>55426</v>
      </c>
      <c r="AL232"/>
      <c r="AM232" t="s">
        <v>1057</v>
      </c>
      <c r="AN232" t="s">
        <v>2187</v>
      </c>
      <c r="AO232" t="s">
        <v>2188</v>
      </c>
      <c r="AP232" t="s">
        <v>2184</v>
      </c>
      <c r="AQ232">
        <v>9529933646</v>
      </c>
      <c r="AR232"/>
      <c r="AS232">
        <v>9529930388</v>
      </c>
      <c r="AT232" t="s">
        <v>2189</v>
      </c>
      <c r="AU232" t="s">
        <v>2186</v>
      </c>
      <c r="AV232"/>
      <c r="AW232" t="s">
        <v>871</v>
      </c>
      <c r="AX232" t="s">
        <v>744</v>
      </c>
      <c r="AY232" t="s">
        <v>54</v>
      </c>
      <c r="AZ232" s="576">
        <v>55426</v>
      </c>
      <c r="BA232"/>
      <c r="BB232" t="s">
        <v>2190</v>
      </c>
      <c r="BC232" t="s">
        <v>2191</v>
      </c>
      <c r="BD232" t="s">
        <v>1160</v>
      </c>
      <c r="BE232" t="s">
        <v>2184</v>
      </c>
      <c r="BF232">
        <v>9529934269</v>
      </c>
      <c r="BG232"/>
      <c r="BH232">
        <v>9529936531</v>
      </c>
      <c r="BI232" t="s">
        <v>2192</v>
      </c>
      <c r="BJ232" t="s">
        <v>2186</v>
      </c>
      <c r="BK232"/>
      <c r="BL232" t="s">
        <v>871</v>
      </c>
      <c r="BM232" t="s">
        <v>744</v>
      </c>
      <c r="BN232" t="s">
        <v>54</v>
      </c>
      <c r="BO232" s="576">
        <v>55426</v>
      </c>
      <c r="BP232"/>
      <c r="BQ232" t="s">
        <v>2193</v>
      </c>
      <c r="BR232" t="s">
        <v>2194</v>
      </c>
      <c r="BS232" t="s">
        <v>2195</v>
      </c>
      <c r="BT232" t="s">
        <v>2196</v>
      </c>
      <c r="BU232">
        <v>9529939255</v>
      </c>
      <c r="BV232"/>
      <c r="BW232">
        <v>9529931808</v>
      </c>
      <c r="BX232" t="s">
        <v>2197</v>
      </c>
      <c r="BY232" t="s">
        <v>2198</v>
      </c>
      <c r="BZ232"/>
      <c r="CA232" t="s">
        <v>871</v>
      </c>
      <c r="CB232" t="s">
        <v>744</v>
      </c>
      <c r="CC232" t="s">
        <v>54</v>
      </c>
      <c r="CD232" s="576">
        <v>55426</v>
      </c>
      <c r="CE232"/>
      <c r="CF232"/>
      <c r="CG232" t="s">
        <v>2196</v>
      </c>
      <c r="CH232" t="s">
        <v>141</v>
      </c>
      <c r="CI232"/>
      <c r="CJ232"/>
      <c r="CK232"/>
      <c r="CL232"/>
      <c r="CM232">
        <v>1780621904</v>
      </c>
      <c r="CN232">
        <v>346</v>
      </c>
      <c r="CO232">
        <v>156</v>
      </c>
      <c r="CP232">
        <v>3173</v>
      </c>
      <c r="CQ232">
        <v>3179</v>
      </c>
      <c r="CR232">
        <v>3174</v>
      </c>
      <c r="CS232" t="s">
        <v>788</v>
      </c>
      <c r="CT232">
        <v>12</v>
      </c>
      <c r="CU232">
        <v>63</v>
      </c>
      <c r="CV232"/>
      <c r="CW232"/>
      <c r="CX232"/>
      <c r="CY232"/>
      <c r="CZ232"/>
      <c r="DA232"/>
      <c r="DB232"/>
      <c r="DC232"/>
      <c r="DD232">
        <v>128</v>
      </c>
      <c r="DE232" t="s">
        <v>2210</v>
      </c>
      <c r="DF232"/>
      <c r="DG232"/>
      <c r="DH232">
        <v>129</v>
      </c>
      <c r="DI232" t="s">
        <v>2211</v>
      </c>
      <c r="DJ232"/>
      <c r="DK232"/>
      <c r="DL232"/>
      <c r="DM232"/>
      <c r="DN232"/>
      <c r="DO232"/>
      <c r="DP232"/>
      <c r="DQ232"/>
      <c r="DR232"/>
      <c r="DS232"/>
      <c r="DT232"/>
      <c r="DU232"/>
      <c r="DV232"/>
      <c r="DW232"/>
      <c r="DX232"/>
      <c r="DY232"/>
      <c r="DZ232"/>
      <c r="EA232"/>
      <c r="EB232"/>
      <c r="EC232"/>
      <c r="ED232"/>
      <c r="EE232"/>
      <c r="EF232"/>
      <c r="EG232"/>
      <c r="EH232"/>
      <c r="EI232"/>
      <c r="EJ232"/>
      <c r="EK232"/>
      <c r="EL232"/>
      <c r="EM232"/>
      <c r="EN232"/>
      <c r="EO232"/>
      <c r="EP232"/>
      <c r="EQ232"/>
      <c r="ER232">
        <v>22</v>
      </c>
      <c r="ES232"/>
      <c r="ET232"/>
      <c r="EU232"/>
      <c r="EV232" s="439">
        <v>404</v>
      </c>
      <c r="EW232" t="s">
        <v>2912</v>
      </c>
      <c r="EX232" t="s">
        <v>967</v>
      </c>
      <c r="EY232" t="s">
        <v>1691</v>
      </c>
      <c r="EZ232" t="s">
        <v>54</v>
      </c>
      <c r="FA232">
        <v>55435</v>
      </c>
      <c r="FB232">
        <v>1154840064</v>
      </c>
    </row>
    <row r="233" spans="1:158" x14ac:dyDescent="0.2">
      <c r="A233" s="439">
        <v>819</v>
      </c>
      <c r="B233" t="s">
        <v>2212</v>
      </c>
      <c r="C233" t="s">
        <v>901</v>
      </c>
      <c r="D233" t="s">
        <v>2213</v>
      </c>
      <c r="E233"/>
      <c r="F233" t="s">
        <v>744</v>
      </c>
      <c r="G233" t="s">
        <v>54</v>
      </c>
      <c r="H233" s="576">
        <v>55414</v>
      </c>
      <c r="I233"/>
      <c r="J233" t="s">
        <v>2213</v>
      </c>
      <c r="K233"/>
      <c r="L233" t="s">
        <v>901</v>
      </c>
      <c r="M233" t="s">
        <v>744</v>
      </c>
      <c r="N233" t="s">
        <v>54</v>
      </c>
      <c r="O233" s="576">
        <v>55414</v>
      </c>
      <c r="P233"/>
      <c r="Q233">
        <v>6124553395</v>
      </c>
      <c r="R233">
        <v>6124553396</v>
      </c>
      <c r="S233" t="s">
        <v>1600</v>
      </c>
      <c r="T233" t="s">
        <v>1970</v>
      </c>
      <c r="U233" t="s">
        <v>740</v>
      </c>
      <c r="V233" t="s">
        <v>2214</v>
      </c>
      <c r="W233" t="s">
        <v>2215</v>
      </c>
      <c r="X233" t="s">
        <v>2216</v>
      </c>
      <c r="Y233" t="s">
        <v>2217</v>
      </c>
      <c r="Z233" t="s">
        <v>2218</v>
      </c>
      <c r="AA233" t="s">
        <v>2212</v>
      </c>
      <c r="AB233">
        <v>9413210999</v>
      </c>
      <c r="AC233"/>
      <c r="AD233">
        <v>9413658635</v>
      </c>
      <c r="AE233" t="s">
        <v>2219</v>
      </c>
      <c r="AF233" t="s">
        <v>2220</v>
      </c>
      <c r="AG233"/>
      <c r="AH233" t="s">
        <v>2221</v>
      </c>
      <c r="AI233"/>
      <c r="AJ233" t="s">
        <v>2222</v>
      </c>
      <c r="AK233" s="576">
        <v>34233</v>
      </c>
      <c r="AL233"/>
      <c r="AM233" t="s">
        <v>1600</v>
      </c>
      <c r="AN233" t="s">
        <v>1970</v>
      </c>
      <c r="AO233" t="s">
        <v>740</v>
      </c>
      <c r="AP233" t="s">
        <v>2212</v>
      </c>
      <c r="AQ233">
        <v>9415521189</v>
      </c>
      <c r="AR233"/>
      <c r="AS233">
        <v>6512096063</v>
      </c>
      <c r="AT233" t="s">
        <v>2214</v>
      </c>
      <c r="AU233" t="s">
        <v>2223</v>
      </c>
      <c r="AV233" t="s">
        <v>2224</v>
      </c>
      <c r="AW233" t="s">
        <v>1029</v>
      </c>
      <c r="AX233" t="s">
        <v>912</v>
      </c>
      <c r="AY233" t="s">
        <v>54</v>
      </c>
      <c r="AZ233" s="576">
        <v>55104</v>
      </c>
      <c r="BA233"/>
      <c r="BB233" t="s">
        <v>2225</v>
      </c>
      <c r="BC233" t="s">
        <v>2226</v>
      </c>
      <c r="BD233" t="s">
        <v>2088</v>
      </c>
      <c r="BE233" t="s">
        <v>2212</v>
      </c>
      <c r="BF233">
        <v>6124553395</v>
      </c>
      <c r="BG233"/>
      <c r="BH233">
        <v>6124553396</v>
      </c>
      <c r="BI233" t="s">
        <v>2227</v>
      </c>
      <c r="BJ233" t="s">
        <v>2223</v>
      </c>
      <c r="BK233" t="s">
        <v>2224</v>
      </c>
      <c r="BL233" t="s">
        <v>1029</v>
      </c>
      <c r="BM233" t="s">
        <v>912</v>
      </c>
      <c r="BN233" t="s">
        <v>54</v>
      </c>
      <c r="BO233" s="576">
        <v>55104</v>
      </c>
      <c r="BP233"/>
      <c r="BQ233"/>
      <c r="BR233"/>
      <c r="BS233"/>
      <c r="BT233"/>
      <c r="BU233"/>
      <c r="BV233"/>
      <c r="BW233"/>
      <c r="BX233"/>
      <c r="BY233"/>
      <c r="BZ233"/>
      <c r="CA233"/>
      <c r="CB233"/>
      <c r="CC233"/>
      <c r="CD233"/>
      <c r="CE233"/>
      <c r="CF233" t="s">
        <v>2228</v>
      </c>
      <c r="CG233" t="s">
        <v>2212</v>
      </c>
      <c r="CH233" t="s">
        <v>141</v>
      </c>
      <c r="CI233"/>
      <c r="CJ233"/>
      <c r="CK233"/>
      <c r="CL233"/>
      <c r="CM233"/>
      <c r="CN233">
        <v>412</v>
      </c>
      <c r="CO233">
        <v>2976</v>
      </c>
      <c r="CP233">
        <v>284</v>
      </c>
      <c r="CQ233">
        <v>285</v>
      </c>
      <c r="CR233"/>
      <c r="CS233" t="s">
        <v>788</v>
      </c>
      <c r="CT233">
        <v>12</v>
      </c>
      <c r="CU233"/>
      <c r="CV233"/>
      <c r="CW233"/>
      <c r="CX233"/>
      <c r="CY233"/>
      <c r="CZ233"/>
      <c r="DA233"/>
      <c r="DB233"/>
      <c r="DC233"/>
      <c r="DD233"/>
      <c r="DE233"/>
      <c r="DF233"/>
      <c r="DG233"/>
      <c r="DH233"/>
      <c r="DI233"/>
      <c r="DJ233"/>
      <c r="DK233"/>
      <c r="DL233"/>
      <c r="DM233"/>
      <c r="DN233"/>
      <c r="DO233"/>
      <c r="DP233"/>
      <c r="DQ233"/>
      <c r="DR233"/>
      <c r="DS233"/>
      <c r="DT233">
        <v>141</v>
      </c>
      <c r="DU233" t="s">
        <v>2229</v>
      </c>
      <c r="DV233"/>
      <c r="DW233"/>
      <c r="DX233"/>
      <c r="DY233"/>
      <c r="DZ233"/>
      <c r="EA233"/>
      <c r="EB233"/>
      <c r="EC233"/>
      <c r="ED233"/>
      <c r="EE233"/>
      <c r="EF233">
        <v>138</v>
      </c>
      <c r="EG233" t="s">
        <v>2230</v>
      </c>
      <c r="EH233"/>
      <c r="EI233"/>
      <c r="EJ233"/>
      <c r="EK233"/>
      <c r="EL233"/>
      <c r="EM233"/>
      <c r="EN233"/>
      <c r="EO233"/>
      <c r="EP233"/>
      <c r="EQ233"/>
      <c r="ER233">
        <v>97</v>
      </c>
      <c r="ES233"/>
      <c r="ET233"/>
      <c r="EU233"/>
      <c r="EV233" s="439">
        <v>329</v>
      </c>
      <c r="EW233" t="s">
        <v>2913</v>
      </c>
      <c r="EX233" t="s">
        <v>967</v>
      </c>
      <c r="EY233" t="s">
        <v>2908</v>
      </c>
      <c r="EZ233" t="s">
        <v>54</v>
      </c>
      <c r="FA233">
        <v>55439</v>
      </c>
      <c r="FB233">
        <v>1306829866</v>
      </c>
    </row>
    <row r="234" spans="1:158" x14ac:dyDescent="0.2">
      <c r="A234" s="439">
        <v>1463</v>
      </c>
      <c r="B234" t="s">
        <v>2231</v>
      </c>
      <c r="C234" t="s">
        <v>1705</v>
      </c>
      <c r="D234" t="s">
        <v>1954</v>
      </c>
      <c r="E234" t="s">
        <v>749</v>
      </c>
      <c r="F234" t="s">
        <v>744</v>
      </c>
      <c r="G234" t="s">
        <v>54</v>
      </c>
      <c r="H234" s="576">
        <v>55422</v>
      </c>
      <c r="I234"/>
      <c r="J234" t="s">
        <v>2232</v>
      </c>
      <c r="K234"/>
      <c r="L234" t="s">
        <v>2233</v>
      </c>
      <c r="M234"/>
      <c r="N234" t="s">
        <v>2234</v>
      </c>
      <c r="O234" s="576">
        <v>94061</v>
      </c>
      <c r="P234"/>
      <c r="Q234">
        <v>8337336886</v>
      </c>
      <c r="R234"/>
      <c r="S234"/>
      <c r="T234"/>
      <c r="U234"/>
      <c r="V234" t="s">
        <v>2235</v>
      </c>
      <c r="W234" t="s">
        <v>2236</v>
      </c>
      <c r="X234" t="s">
        <v>2237</v>
      </c>
      <c r="Y234" t="s">
        <v>2238</v>
      </c>
      <c r="Z234" t="s">
        <v>2239</v>
      </c>
      <c r="AA234" t="s">
        <v>2240</v>
      </c>
      <c r="AB234">
        <v>6506293433</v>
      </c>
      <c r="AC234"/>
      <c r="AD234"/>
      <c r="AE234" t="s">
        <v>2241</v>
      </c>
      <c r="AF234" t="s">
        <v>2232</v>
      </c>
      <c r="AG234"/>
      <c r="AH234" t="s">
        <v>2233</v>
      </c>
      <c r="AI234"/>
      <c r="AJ234" t="s">
        <v>2234</v>
      </c>
      <c r="AK234" s="576">
        <v>94061</v>
      </c>
      <c r="AL234"/>
      <c r="AM234" t="s">
        <v>2242</v>
      </c>
      <c r="AN234" t="s">
        <v>2243</v>
      </c>
      <c r="AO234" t="s">
        <v>2027</v>
      </c>
      <c r="AP234" t="s">
        <v>2240</v>
      </c>
      <c r="AQ234">
        <v>7787704688</v>
      </c>
      <c r="AR234"/>
      <c r="AS234"/>
      <c r="AT234" t="s">
        <v>2244</v>
      </c>
      <c r="AU234" t="s">
        <v>2232</v>
      </c>
      <c r="AV234"/>
      <c r="AW234" t="s">
        <v>2233</v>
      </c>
      <c r="AX234"/>
      <c r="AY234" t="s">
        <v>2234</v>
      </c>
      <c r="AZ234" s="576">
        <v>94061</v>
      </c>
      <c r="BA234"/>
      <c r="BB234"/>
      <c r="BC234"/>
      <c r="BD234"/>
      <c r="BE234"/>
      <c r="BF234"/>
      <c r="BG234"/>
      <c r="BH234"/>
      <c r="BI234"/>
      <c r="BJ234"/>
      <c r="BK234"/>
      <c r="BL234"/>
      <c r="BM234"/>
      <c r="BN234"/>
      <c r="BO234"/>
      <c r="BP234"/>
      <c r="BQ234"/>
      <c r="BR234"/>
      <c r="BS234"/>
      <c r="BT234"/>
      <c r="BU234"/>
      <c r="BV234"/>
      <c r="BW234"/>
      <c r="BX234"/>
      <c r="BY234"/>
      <c r="BZ234"/>
      <c r="CA234"/>
      <c r="CB234"/>
      <c r="CC234"/>
      <c r="CD234"/>
      <c r="CE234"/>
      <c r="CF234" t="s">
        <v>2245</v>
      </c>
      <c r="CG234" t="s">
        <v>733</v>
      </c>
      <c r="CH234" t="s">
        <v>749</v>
      </c>
      <c r="CI234"/>
      <c r="CJ234"/>
      <c r="CK234"/>
      <c r="CL234"/>
      <c r="CM234"/>
      <c r="CN234">
        <v>301</v>
      </c>
      <c r="CO234">
        <v>302</v>
      </c>
      <c r="CP234">
        <v>307</v>
      </c>
      <c r="CQ234"/>
      <c r="CR234"/>
      <c r="CS234" t="s">
        <v>788</v>
      </c>
      <c r="CT234">
        <v>12</v>
      </c>
      <c r="CU234"/>
      <c r="CV234"/>
      <c r="CW234"/>
      <c r="CX234"/>
      <c r="CY234"/>
      <c r="CZ234"/>
      <c r="DA234"/>
      <c r="DB234"/>
      <c r="DC234"/>
      <c r="DD234"/>
      <c r="DE234"/>
      <c r="DF234"/>
      <c r="DG234"/>
      <c r="DH234"/>
      <c r="DI234"/>
      <c r="DJ234"/>
      <c r="DK234"/>
      <c r="DL234"/>
      <c r="DM234"/>
      <c r="DN234"/>
      <c r="DO234"/>
      <c r="DP234"/>
      <c r="DQ234"/>
      <c r="DR234"/>
      <c r="DS234"/>
      <c r="DT234"/>
      <c r="DU234"/>
      <c r="DV234"/>
      <c r="DW234"/>
      <c r="DX234"/>
      <c r="DY234"/>
      <c r="DZ234"/>
      <c r="EA234"/>
      <c r="EB234"/>
      <c r="EC234"/>
      <c r="ED234"/>
      <c r="EE234"/>
      <c r="EF234"/>
      <c r="EG234"/>
      <c r="EH234"/>
      <c r="EI234"/>
      <c r="EJ234"/>
      <c r="EK234"/>
      <c r="EL234"/>
      <c r="EM234"/>
      <c r="EN234"/>
      <c r="EO234"/>
      <c r="EP234"/>
      <c r="EQ234"/>
      <c r="ER234">
        <v>0</v>
      </c>
      <c r="ES234"/>
      <c r="ET234"/>
      <c r="EU234"/>
      <c r="EV234" s="439">
        <v>1433</v>
      </c>
      <c r="EW234" t="s">
        <v>2542</v>
      </c>
      <c r="EX234" t="s">
        <v>967</v>
      </c>
      <c r="EY234" t="s">
        <v>2543</v>
      </c>
      <c r="EZ234" t="s">
        <v>54</v>
      </c>
      <c r="FA234">
        <v>55435</v>
      </c>
      <c r="FB234">
        <v>1881708030</v>
      </c>
    </row>
    <row r="235" spans="1:158" x14ac:dyDescent="0.2">
      <c r="A235" s="439">
        <v>1472</v>
      </c>
      <c r="B235" t="s">
        <v>2246</v>
      </c>
      <c r="C235" t="s">
        <v>1794</v>
      </c>
      <c r="D235" t="s">
        <v>2247</v>
      </c>
      <c r="E235" t="s">
        <v>2248</v>
      </c>
      <c r="F235"/>
      <c r="G235" t="s">
        <v>54</v>
      </c>
      <c r="H235" s="576">
        <v>55378</v>
      </c>
      <c r="I235" t="s">
        <v>749</v>
      </c>
      <c r="J235" t="s">
        <v>2247</v>
      </c>
      <c r="K235" t="s">
        <v>2248</v>
      </c>
      <c r="L235" t="s">
        <v>1794</v>
      </c>
      <c r="M235" t="s">
        <v>1796</v>
      </c>
      <c r="N235" t="s">
        <v>54</v>
      </c>
      <c r="O235" s="576">
        <v>55378</v>
      </c>
      <c r="P235" t="s">
        <v>749</v>
      </c>
      <c r="Q235">
        <v>9523952500</v>
      </c>
      <c r="R235">
        <v>9523952501</v>
      </c>
      <c r="S235" t="s">
        <v>2249</v>
      </c>
      <c r="T235" t="s">
        <v>1087</v>
      </c>
      <c r="U235" t="s">
        <v>740</v>
      </c>
      <c r="V235" t="s">
        <v>2250</v>
      </c>
      <c r="W235" t="s">
        <v>749</v>
      </c>
      <c r="X235" t="s">
        <v>2249</v>
      </c>
      <c r="Y235" t="s">
        <v>1087</v>
      </c>
      <c r="Z235" t="s">
        <v>740</v>
      </c>
      <c r="AA235" t="s">
        <v>2246</v>
      </c>
      <c r="AB235">
        <v>9523952500</v>
      </c>
      <c r="AC235"/>
      <c r="AD235"/>
      <c r="AE235" t="s">
        <v>2250</v>
      </c>
      <c r="AF235" t="s">
        <v>2247</v>
      </c>
      <c r="AG235" t="s">
        <v>2248</v>
      </c>
      <c r="AH235" t="s">
        <v>1794</v>
      </c>
      <c r="AI235" t="s">
        <v>1796</v>
      </c>
      <c r="AJ235" t="s">
        <v>54</v>
      </c>
      <c r="AK235" s="576">
        <v>55378</v>
      </c>
      <c r="AL235" t="s">
        <v>749</v>
      </c>
      <c r="AM235" t="s">
        <v>748</v>
      </c>
      <c r="AN235" t="s">
        <v>2251</v>
      </c>
      <c r="AO235" t="s">
        <v>2252</v>
      </c>
      <c r="AP235" t="s">
        <v>2246</v>
      </c>
      <c r="AQ235">
        <v>9523952500</v>
      </c>
      <c r="AR235"/>
      <c r="AS235"/>
      <c r="AT235" t="s">
        <v>2253</v>
      </c>
      <c r="AU235" t="s">
        <v>2247</v>
      </c>
      <c r="AV235" t="s">
        <v>2248</v>
      </c>
      <c r="AW235" t="s">
        <v>1794</v>
      </c>
      <c r="AX235" t="s">
        <v>1796</v>
      </c>
      <c r="AY235" t="s">
        <v>54</v>
      </c>
      <c r="AZ235" s="576">
        <v>55378</v>
      </c>
      <c r="BA235" t="s">
        <v>749</v>
      </c>
      <c r="BB235"/>
      <c r="BC235"/>
      <c r="BD235"/>
      <c r="BE235"/>
      <c r="BF235"/>
      <c r="BG235"/>
      <c r="BH235"/>
      <c r="BI235"/>
      <c r="BJ235"/>
      <c r="BK235"/>
      <c r="BL235"/>
      <c r="BM235"/>
      <c r="BN235"/>
      <c r="BO235"/>
      <c r="BP235"/>
      <c r="BQ235"/>
      <c r="BR235"/>
      <c r="BS235"/>
      <c r="BT235"/>
      <c r="BU235"/>
      <c r="BV235"/>
      <c r="BW235"/>
      <c r="BX235"/>
      <c r="BY235"/>
      <c r="BZ235"/>
      <c r="CA235"/>
      <c r="CB235"/>
      <c r="CC235"/>
      <c r="CD235"/>
      <c r="CE235"/>
      <c r="CF235" t="s">
        <v>2254</v>
      </c>
      <c r="CG235" t="s">
        <v>733</v>
      </c>
      <c r="CH235" t="s">
        <v>141</v>
      </c>
      <c r="CI235"/>
      <c r="CJ235"/>
      <c r="CK235"/>
      <c r="CL235"/>
      <c r="CM235">
        <v>1386374593</v>
      </c>
      <c r="CN235">
        <v>873</v>
      </c>
      <c r="CO235">
        <v>866</v>
      </c>
      <c r="CP235">
        <v>868</v>
      </c>
      <c r="CQ235"/>
      <c r="CR235"/>
      <c r="CS235" t="s">
        <v>788</v>
      </c>
      <c r="CT235">
        <v>12</v>
      </c>
      <c r="CU235"/>
      <c r="CV235"/>
      <c r="CW235"/>
      <c r="CX235" t="s">
        <v>749</v>
      </c>
      <c r="CY235"/>
      <c r="CZ235" t="s">
        <v>749</v>
      </c>
      <c r="DA235" t="s">
        <v>749</v>
      </c>
      <c r="DB235" t="s">
        <v>749</v>
      </c>
      <c r="DC235" t="s">
        <v>749</v>
      </c>
      <c r="DD235"/>
      <c r="DE235"/>
      <c r="DF235"/>
      <c r="DG235"/>
      <c r="DH235"/>
      <c r="DI235"/>
      <c r="DJ235"/>
      <c r="DK235"/>
      <c r="DL235"/>
      <c r="DM235"/>
      <c r="DN235">
        <v>133</v>
      </c>
      <c r="DO235" t="s">
        <v>796</v>
      </c>
      <c r="DP235"/>
      <c r="DQ235"/>
      <c r="DR235"/>
      <c r="DS235"/>
      <c r="DT235"/>
      <c r="DU235"/>
      <c r="DV235"/>
      <c r="DW235"/>
      <c r="DX235"/>
      <c r="DY235"/>
      <c r="DZ235"/>
      <c r="EA235"/>
      <c r="EB235"/>
      <c r="EC235"/>
      <c r="ED235"/>
      <c r="EE235"/>
      <c r="EF235"/>
      <c r="EG235"/>
      <c r="EH235"/>
      <c r="EI235"/>
      <c r="EJ235"/>
      <c r="EK235"/>
      <c r="EL235"/>
      <c r="EM235"/>
      <c r="EN235"/>
      <c r="EO235"/>
      <c r="EP235"/>
      <c r="EQ235"/>
      <c r="ER235">
        <v>0</v>
      </c>
      <c r="ES235"/>
      <c r="ET235"/>
      <c r="EU235"/>
      <c r="EV235" s="439">
        <v>545</v>
      </c>
      <c r="EW235" t="s">
        <v>2617</v>
      </c>
      <c r="EX235" t="s">
        <v>967</v>
      </c>
      <c r="EY235" t="s">
        <v>2603</v>
      </c>
      <c r="EZ235" t="s">
        <v>54</v>
      </c>
      <c r="FA235">
        <v>55435</v>
      </c>
      <c r="FB235">
        <v>1164474250</v>
      </c>
    </row>
    <row r="236" spans="1:158" x14ac:dyDescent="0.2">
      <c r="A236" s="439">
        <v>1374</v>
      </c>
      <c r="B236" t="s">
        <v>2255</v>
      </c>
      <c r="C236" t="s">
        <v>822</v>
      </c>
      <c r="D236" t="s">
        <v>2256</v>
      </c>
      <c r="E236" t="s">
        <v>2257</v>
      </c>
      <c r="F236" t="s">
        <v>746</v>
      </c>
      <c r="G236" t="s">
        <v>54</v>
      </c>
      <c r="H236" s="576">
        <v>55121</v>
      </c>
      <c r="I236" t="s">
        <v>749</v>
      </c>
      <c r="J236" t="s">
        <v>869</v>
      </c>
      <c r="K236" t="s">
        <v>870</v>
      </c>
      <c r="L236" t="s">
        <v>871</v>
      </c>
      <c r="M236" t="s">
        <v>744</v>
      </c>
      <c r="N236" t="s">
        <v>54</v>
      </c>
      <c r="O236" s="576">
        <v>55416</v>
      </c>
      <c r="P236"/>
      <c r="Q236">
        <v>6513064567</v>
      </c>
      <c r="R236">
        <v>6514546028</v>
      </c>
      <c r="S236" t="s">
        <v>872</v>
      </c>
      <c r="T236" t="s">
        <v>873</v>
      </c>
      <c r="U236" t="s">
        <v>874</v>
      </c>
      <c r="V236" t="s">
        <v>875</v>
      </c>
      <c r="W236" t="s">
        <v>876</v>
      </c>
      <c r="X236" t="s">
        <v>877</v>
      </c>
      <c r="Y236" t="s">
        <v>878</v>
      </c>
      <c r="Z236" t="s">
        <v>879</v>
      </c>
      <c r="AA236" t="s">
        <v>880</v>
      </c>
      <c r="AB236">
        <v>9525136831</v>
      </c>
      <c r="AC236"/>
      <c r="AD236">
        <v>9525136880</v>
      </c>
      <c r="AE236" t="s">
        <v>881</v>
      </c>
      <c r="AF236" t="s">
        <v>869</v>
      </c>
      <c r="AG236" t="s">
        <v>882</v>
      </c>
      <c r="AH236" t="s">
        <v>871</v>
      </c>
      <c r="AI236" t="s">
        <v>744</v>
      </c>
      <c r="AJ236" t="s">
        <v>54</v>
      </c>
      <c r="AK236" s="576">
        <v>55416</v>
      </c>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c r="BR236"/>
      <c r="BS236"/>
      <c r="BT236"/>
      <c r="BU236"/>
      <c r="BV236"/>
      <c r="BW236"/>
      <c r="BX236"/>
      <c r="BY236"/>
      <c r="BZ236"/>
      <c r="CA236"/>
      <c r="CB236"/>
      <c r="CC236"/>
      <c r="CD236"/>
      <c r="CE236"/>
      <c r="CF236" t="s">
        <v>883</v>
      </c>
      <c r="CG236" t="s">
        <v>884</v>
      </c>
      <c r="CH236" t="s">
        <v>142</v>
      </c>
      <c r="CI236"/>
      <c r="CJ236"/>
      <c r="CK236"/>
      <c r="CL236"/>
      <c r="CM236">
        <v>1659348092</v>
      </c>
      <c r="CN236">
        <v>395</v>
      </c>
      <c r="CO236">
        <v>142</v>
      </c>
      <c r="CP236"/>
      <c r="CQ236"/>
      <c r="CR236"/>
      <c r="CS236" t="s">
        <v>788</v>
      </c>
      <c r="CT236">
        <v>12</v>
      </c>
      <c r="CU236"/>
      <c r="CV236"/>
      <c r="CW236"/>
      <c r="CX236" t="s">
        <v>749</v>
      </c>
      <c r="CY236"/>
      <c r="CZ236" t="s">
        <v>749</v>
      </c>
      <c r="DA236" t="s">
        <v>749</v>
      </c>
      <c r="DB236" t="s">
        <v>749</v>
      </c>
      <c r="DC236" t="s">
        <v>749</v>
      </c>
      <c r="DD236">
        <v>128</v>
      </c>
      <c r="DE236" t="s">
        <v>2258</v>
      </c>
      <c r="DF236"/>
      <c r="DG236"/>
      <c r="DH236">
        <v>129</v>
      </c>
      <c r="DI236" t="s">
        <v>2259</v>
      </c>
      <c r="DJ236"/>
      <c r="DK236"/>
      <c r="DL236"/>
      <c r="DM236"/>
      <c r="DN236"/>
      <c r="DO236"/>
      <c r="DP236"/>
      <c r="DQ236"/>
      <c r="DR236"/>
      <c r="DS236"/>
      <c r="DT236"/>
      <c r="DU236"/>
      <c r="DV236"/>
      <c r="DW236"/>
      <c r="DX236"/>
      <c r="DY236"/>
      <c r="DZ236"/>
      <c r="EA236"/>
      <c r="EB236"/>
      <c r="EC236"/>
      <c r="ED236"/>
      <c r="EE236"/>
      <c r="EF236"/>
      <c r="EG236"/>
      <c r="EH236"/>
      <c r="EI236"/>
      <c r="EJ236"/>
      <c r="EK236"/>
      <c r="EL236"/>
      <c r="EM236"/>
      <c r="EN236"/>
      <c r="EO236"/>
      <c r="EP236"/>
      <c r="EQ236"/>
      <c r="ER236">
        <v>48</v>
      </c>
      <c r="ES236"/>
      <c r="ET236"/>
      <c r="EU236"/>
      <c r="EV236" s="439">
        <v>394</v>
      </c>
      <c r="EW236" t="s">
        <v>2914</v>
      </c>
      <c r="EX236" t="s">
        <v>967</v>
      </c>
      <c r="EY236" t="s">
        <v>2915</v>
      </c>
      <c r="EZ236" t="s">
        <v>54</v>
      </c>
      <c r="FA236">
        <v>55439</v>
      </c>
      <c r="FB236">
        <v>1790145480</v>
      </c>
    </row>
    <row r="237" spans="1:158" x14ac:dyDescent="0.2">
      <c r="A237" s="439">
        <v>1467</v>
      </c>
      <c r="B237" t="s">
        <v>2260</v>
      </c>
      <c r="C237" t="s">
        <v>1029</v>
      </c>
      <c r="D237" t="s">
        <v>2261</v>
      </c>
      <c r="E237" t="s">
        <v>2169</v>
      </c>
      <c r="F237"/>
      <c r="G237" t="s">
        <v>54</v>
      </c>
      <c r="H237" s="576">
        <v>55116</v>
      </c>
      <c r="I237" t="s">
        <v>749</v>
      </c>
      <c r="J237" t="s">
        <v>869</v>
      </c>
      <c r="K237" t="s">
        <v>870</v>
      </c>
      <c r="L237" t="s">
        <v>871</v>
      </c>
      <c r="M237" t="s">
        <v>744</v>
      </c>
      <c r="N237" t="s">
        <v>54</v>
      </c>
      <c r="O237" s="576">
        <v>55416</v>
      </c>
      <c r="P237"/>
      <c r="Q237">
        <v>6514555500</v>
      </c>
      <c r="R237">
        <v>9525436524</v>
      </c>
      <c r="S237" t="s">
        <v>872</v>
      </c>
      <c r="T237" t="s">
        <v>873</v>
      </c>
      <c r="U237" t="s">
        <v>874</v>
      </c>
      <c r="V237" t="s">
        <v>875</v>
      </c>
      <c r="W237" t="s">
        <v>876</v>
      </c>
      <c r="X237" t="s">
        <v>877</v>
      </c>
      <c r="Y237" t="s">
        <v>878</v>
      </c>
      <c r="Z237" t="s">
        <v>879</v>
      </c>
      <c r="AA237" t="s">
        <v>880</v>
      </c>
      <c r="AB237">
        <v>9525136831</v>
      </c>
      <c r="AC237"/>
      <c r="AD237">
        <v>9525136880</v>
      </c>
      <c r="AE237" t="s">
        <v>881</v>
      </c>
      <c r="AF237" t="s">
        <v>869</v>
      </c>
      <c r="AG237" t="s">
        <v>882</v>
      </c>
      <c r="AH237" t="s">
        <v>871</v>
      </c>
      <c r="AI237" t="s">
        <v>744</v>
      </c>
      <c r="AJ237" t="s">
        <v>54</v>
      </c>
      <c r="AK237" s="576">
        <v>55416</v>
      </c>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c r="BR237"/>
      <c r="BS237"/>
      <c r="BT237"/>
      <c r="BU237"/>
      <c r="BV237"/>
      <c r="BW237"/>
      <c r="BX237"/>
      <c r="BY237"/>
      <c r="BZ237"/>
      <c r="CA237"/>
      <c r="CB237"/>
      <c r="CC237"/>
      <c r="CD237"/>
      <c r="CE237"/>
      <c r="CF237" t="s">
        <v>883</v>
      </c>
      <c r="CG237" t="s">
        <v>884</v>
      </c>
      <c r="CH237" t="s">
        <v>749</v>
      </c>
      <c r="CI237"/>
      <c r="CJ237"/>
      <c r="CK237"/>
      <c r="CL237"/>
      <c r="CM237">
        <v>1659348092</v>
      </c>
      <c r="CN237">
        <v>395</v>
      </c>
      <c r="CO237">
        <v>142</v>
      </c>
      <c r="CP237"/>
      <c r="CQ237"/>
      <c r="CR237"/>
      <c r="CS237"/>
      <c r="CT237">
        <v>12</v>
      </c>
      <c r="CU237"/>
      <c r="CV237"/>
      <c r="CW237"/>
      <c r="CX237" t="s">
        <v>749</v>
      </c>
      <c r="CY237"/>
      <c r="CZ237" t="s">
        <v>749</v>
      </c>
      <c r="DA237" t="s">
        <v>749</v>
      </c>
      <c r="DB237" t="s">
        <v>749</v>
      </c>
      <c r="DC237" t="s">
        <v>749</v>
      </c>
      <c r="DD237">
        <v>128</v>
      </c>
      <c r="DE237" t="s">
        <v>2262</v>
      </c>
      <c r="DF237">
        <v>131</v>
      </c>
      <c r="DG237" t="s">
        <v>1147</v>
      </c>
      <c r="DH237">
        <v>129</v>
      </c>
      <c r="DI237" t="s">
        <v>2263</v>
      </c>
      <c r="DJ237"/>
      <c r="DK237"/>
      <c r="DL237"/>
      <c r="DM237"/>
      <c r="DN237"/>
      <c r="DO237"/>
      <c r="DP237"/>
      <c r="DQ237"/>
      <c r="DR237"/>
      <c r="DS237"/>
      <c r="DT237"/>
      <c r="DU237"/>
      <c r="DV237"/>
      <c r="DW237"/>
      <c r="DX237"/>
      <c r="DY237"/>
      <c r="DZ237"/>
      <c r="EA237"/>
      <c r="EB237"/>
      <c r="EC237"/>
      <c r="ED237"/>
      <c r="EE237"/>
      <c r="EF237"/>
      <c r="EG237"/>
      <c r="EH237"/>
      <c r="EI237"/>
      <c r="EJ237"/>
      <c r="EK237"/>
      <c r="EL237"/>
      <c r="EM237"/>
      <c r="EN237"/>
      <c r="EO237"/>
      <c r="EP237"/>
      <c r="EQ237"/>
      <c r="ER237">
        <v>48</v>
      </c>
      <c r="ES237"/>
      <c r="ET237"/>
      <c r="EU237"/>
      <c r="EV237" s="439">
        <v>54</v>
      </c>
      <c r="EW237" t="s">
        <v>2916</v>
      </c>
      <c r="EX237" t="s">
        <v>2917</v>
      </c>
      <c r="EY237" t="s">
        <v>2918</v>
      </c>
      <c r="EZ237" t="s">
        <v>54</v>
      </c>
      <c r="FA237">
        <v>56531</v>
      </c>
      <c r="FB237">
        <v>1407838329</v>
      </c>
    </row>
    <row r="238" spans="1:158" x14ac:dyDescent="0.2">
      <c r="A238" s="439">
        <v>629</v>
      </c>
      <c r="B238" t="s">
        <v>2264</v>
      </c>
      <c r="C238" t="s">
        <v>829</v>
      </c>
      <c r="D238" t="s">
        <v>2265</v>
      </c>
      <c r="E238" t="s">
        <v>911</v>
      </c>
      <c r="F238" t="s">
        <v>801</v>
      </c>
      <c r="G238" t="s">
        <v>54</v>
      </c>
      <c r="H238" s="576">
        <v>55369</v>
      </c>
      <c r="I238"/>
      <c r="J238" t="s">
        <v>869</v>
      </c>
      <c r="K238" t="s">
        <v>870</v>
      </c>
      <c r="L238" t="s">
        <v>871</v>
      </c>
      <c r="M238" t="s">
        <v>744</v>
      </c>
      <c r="N238" t="s">
        <v>54</v>
      </c>
      <c r="O238" s="576">
        <v>55416</v>
      </c>
      <c r="P238"/>
      <c r="Q238">
        <v>7634169916</v>
      </c>
      <c r="R238">
        <v>7634169926</v>
      </c>
      <c r="S238" t="s">
        <v>872</v>
      </c>
      <c r="T238" t="s">
        <v>873</v>
      </c>
      <c r="U238" t="s">
        <v>874</v>
      </c>
      <c r="V238" t="s">
        <v>875</v>
      </c>
      <c r="W238" t="s">
        <v>876</v>
      </c>
      <c r="X238" t="s">
        <v>877</v>
      </c>
      <c r="Y238" t="s">
        <v>878</v>
      </c>
      <c r="Z238" t="s">
        <v>879</v>
      </c>
      <c r="AA238" t="s">
        <v>880</v>
      </c>
      <c r="AB238">
        <v>9525136831</v>
      </c>
      <c r="AC238"/>
      <c r="AD238">
        <v>9525136880</v>
      </c>
      <c r="AE238" t="s">
        <v>881</v>
      </c>
      <c r="AF238" t="s">
        <v>869</v>
      </c>
      <c r="AG238" t="s">
        <v>882</v>
      </c>
      <c r="AH238" t="s">
        <v>871</v>
      </c>
      <c r="AI238" t="s">
        <v>744</v>
      </c>
      <c r="AJ238" t="s">
        <v>54</v>
      </c>
      <c r="AK238" s="576">
        <v>55416</v>
      </c>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c r="BR238"/>
      <c r="BS238"/>
      <c r="BT238"/>
      <c r="BU238"/>
      <c r="BV238"/>
      <c r="BW238"/>
      <c r="BX238"/>
      <c r="BY238"/>
      <c r="BZ238"/>
      <c r="CA238"/>
      <c r="CB238"/>
      <c r="CC238"/>
      <c r="CD238"/>
      <c r="CE238"/>
      <c r="CF238" t="s">
        <v>883</v>
      </c>
      <c r="CG238" t="s">
        <v>884</v>
      </c>
      <c r="CH238" t="s">
        <v>142</v>
      </c>
      <c r="CI238"/>
      <c r="CJ238"/>
      <c r="CK238"/>
      <c r="CL238"/>
      <c r="CM238">
        <v>1659348092</v>
      </c>
      <c r="CN238">
        <v>395</v>
      </c>
      <c r="CO238">
        <v>142</v>
      </c>
      <c r="CP238"/>
      <c r="CQ238"/>
      <c r="CR238"/>
      <c r="CS238" t="s">
        <v>788</v>
      </c>
      <c r="CT238">
        <v>12</v>
      </c>
      <c r="CU238"/>
      <c r="CV238"/>
      <c r="CW238"/>
      <c r="CX238"/>
      <c r="CY238"/>
      <c r="CZ238"/>
      <c r="DA238"/>
      <c r="DB238"/>
      <c r="DC238"/>
      <c r="DD238">
        <v>128</v>
      </c>
      <c r="DE238" t="s">
        <v>2266</v>
      </c>
      <c r="DF238"/>
      <c r="DG238"/>
      <c r="DH238">
        <v>129</v>
      </c>
      <c r="DI238" t="s">
        <v>2267</v>
      </c>
      <c r="DJ238"/>
      <c r="DK238"/>
      <c r="DL238"/>
      <c r="DM238"/>
      <c r="DN238"/>
      <c r="DO238"/>
      <c r="DP238"/>
      <c r="DQ238"/>
      <c r="DR238"/>
      <c r="DS238"/>
      <c r="DT238"/>
      <c r="DU238"/>
      <c r="DV238"/>
      <c r="DW238"/>
      <c r="DX238"/>
      <c r="DY238"/>
      <c r="DZ238"/>
      <c r="EA238"/>
      <c r="EB238"/>
      <c r="EC238"/>
      <c r="ED238"/>
      <c r="EE238"/>
      <c r="EF238"/>
      <c r="EG238"/>
      <c r="EH238"/>
      <c r="EI238"/>
      <c r="EJ238"/>
      <c r="EK238"/>
      <c r="EL238"/>
      <c r="EM238"/>
      <c r="EN238"/>
      <c r="EO238"/>
      <c r="EP238"/>
      <c r="EQ238"/>
      <c r="ER238">
        <v>48</v>
      </c>
      <c r="ES238"/>
      <c r="ET238"/>
      <c r="EU238"/>
      <c r="EV238" s="439">
        <v>838</v>
      </c>
      <c r="EW238" t="s">
        <v>1268</v>
      </c>
      <c r="EX238" t="s">
        <v>1269</v>
      </c>
      <c r="EY238" t="s">
        <v>1270</v>
      </c>
      <c r="EZ238" t="s">
        <v>54</v>
      </c>
      <c r="FA238">
        <v>55731</v>
      </c>
      <c r="FB238"/>
    </row>
    <row r="239" spans="1:158" x14ac:dyDescent="0.2">
      <c r="A239" s="439">
        <v>1448</v>
      </c>
      <c r="B239" t="s">
        <v>2268</v>
      </c>
      <c r="C239" t="s">
        <v>2269</v>
      </c>
      <c r="D239" t="s">
        <v>2270</v>
      </c>
      <c r="E239" t="s">
        <v>911</v>
      </c>
      <c r="F239" t="s">
        <v>855</v>
      </c>
      <c r="G239" t="s">
        <v>54</v>
      </c>
      <c r="H239" s="576">
        <v>55330</v>
      </c>
      <c r="I239" t="s">
        <v>749</v>
      </c>
      <c r="J239" t="s">
        <v>869</v>
      </c>
      <c r="K239" t="s">
        <v>870</v>
      </c>
      <c r="L239" t="s">
        <v>871</v>
      </c>
      <c r="M239" t="s">
        <v>744</v>
      </c>
      <c r="N239" t="s">
        <v>54</v>
      </c>
      <c r="O239" s="576">
        <v>55416</v>
      </c>
      <c r="P239"/>
      <c r="Q239">
        <v>9525411840</v>
      </c>
      <c r="R239"/>
      <c r="S239" t="s">
        <v>872</v>
      </c>
      <c r="T239" t="s">
        <v>873</v>
      </c>
      <c r="U239" t="s">
        <v>874</v>
      </c>
      <c r="V239" t="s">
        <v>875</v>
      </c>
      <c r="W239" t="s">
        <v>876</v>
      </c>
      <c r="X239" t="s">
        <v>877</v>
      </c>
      <c r="Y239" t="s">
        <v>878</v>
      </c>
      <c r="Z239" t="s">
        <v>879</v>
      </c>
      <c r="AA239" t="s">
        <v>880</v>
      </c>
      <c r="AB239">
        <v>9525136831</v>
      </c>
      <c r="AC239"/>
      <c r="AD239">
        <v>9525136880</v>
      </c>
      <c r="AE239" t="s">
        <v>881</v>
      </c>
      <c r="AF239" t="s">
        <v>869</v>
      </c>
      <c r="AG239" t="s">
        <v>882</v>
      </c>
      <c r="AH239" t="s">
        <v>871</v>
      </c>
      <c r="AI239" t="s">
        <v>744</v>
      </c>
      <c r="AJ239" t="s">
        <v>54</v>
      </c>
      <c r="AK239" s="576">
        <v>55416</v>
      </c>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c r="BR239"/>
      <c r="BS239"/>
      <c r="BT239"/>
      <c r="BU239"/>
      <c r="BV239"/>
      <c r="BW239"/>
      <c r="BX239"/>
      <c r="BY239"/>
      <c r="BZ239"/>
      <c r="CA239"/>
      <c r="CB239"/>
      <c r="CC239"/>
      <c r="CD239"/>
      <c r="CE239"/>
      <c r="CF239" t="s">
        <v>2271</v>
      </c>
      <c r="CG239" t="s">
        <v>884</v>
      </c>
      <c r="CH239" t="s">
        <v>142</v>
      </c>
      <c r="CI239"/>
      <c r="CJ239"/>
      <c r="CK239"/>
      <c r="CL239"/>
      <c r="CM239">
        <v>1659348092</v>
      </c>
      <c r="CN239">
        <v>395</v>
      </c>
      <c r="CO239">
        <v>142</v>
      </c>
      <c r="CP239"/>
      <c r="CQ239"/>
      <c r="CR239"/>
      <c r="CS239" t="s">
        <v>788</v>
      </c>
      <c r="CT239">
        <v>12</v>
      </c>
      <c r="CU239"/>
      <c r="CV239"/>
      <c r="CW239"/>
      <c r="CX239" t="s">
        <v>749</v>
      </c>
      <c r="CY239"/>
      <c r="CZ239" t="s">
        <v>749</v>
      </c>
      <c r="DA239" t="s">
        <v>749</v>
      </c>
      <c r="DB239" t="s">
        <v>749</v>
      </c>
      <c r="DC239" t="s">
        <v>749</v>
      </c>
      <c r="DD239">
        <v>128</v>
      </c>
      <c r="DE239" t="s">
        <v>2272</v>
      </c>
      <c r="DF239"/>
      <c r="DG239"/>
      <c r="DH239">
        <v>129</v>
      </c>
      <c r="DI239" t="s">
        <v>2273</v>
      </c>
      <c r="DJ239"/>
      <c r="DK239"/>
      <c r="DL239"/>
      <c r="DM239"/>
      <c r="DN239"/>
      <c r="DO239"/>
      <c r="DP239"/>
      <c r="DQ239"/>
      <c r="DR239"/>
      <c r="DS239"/>
      <c r="DT239"/>
      <c r="DU239"/>
      <c r="DV239"/>
      <c r="DW239"/>
      <c r="DX239"/>
      <c r="DY239"/>
      <c r="DZ239"/>
      <c r="EA239"/>
      <c r="EB239"/>
      <c r="EC239"/>
      <c r="ED239"/>
      <c r="EE239"/>
      <c r="EF239"/>
      <c r="EG239"/>
      <c r="EH239"/>
      <c r="EI239"/>
      <c r="EJ239"/>
      <c r="EK239"/>
      <c r="EL239"/>
      <c r="EM239"/>
      <c r="EN239"/>
      <c r="EO239"/>
      <c r="EP239"/>
      <c r="EQ239"/>
      <c r="ER239">
        <v>48</v>
      </c>
      <c r="ES239"/>
      <c r="ET239"/>
      <c r="EU239"/>
      <c r="EV239" s="439">
        <v>37</v>
      </c>
      <c r="EW239" t="s">
        <v>2919</v>
      </c>
      <c r="EX239" t="s">
        <v>1269</v>
      </c>
      <c r="EY239" t="s">
        <v>2920</v>
      </c>
      <c r="EZ239" t="s">
        <v>54</v>
      </c>
      <c r="FA239">
        <v>55731</v>
      </c>
      <c r="FB239">
        <v>1770542904</v>
      </c>
    </row>
    <row r="240" spans="1:158" x14ac:dyDescent="0.2">
      <c r="A240" s="439">
        <v>655</v>
      </c>
      <c r="B240" t="s">
        <v>2274</v>
      </c>
      <c r="C240" t="s">
        <v>1419</v>
      </c>
      <c r="D240" t="s">
        <v>2275</v>
      </c>
      <c r="E240" t="s">
        <v>831</v>
      </c>
      <c r="F240" t="s">
        <v>855</v>
      </c>
      <c r="G240" t="s">
        <v>54</v>
      </c>
      <c r="H240" s="576">
        <v>56377</v>
      </c>
      <c r="I240"/>
      <c r="J240" t="s">
        <v>869</v>
      </c>
      <c r="K240" t="s">
        <v>870</v>
      </c>
      <c r="L240" t="s">
        <v>871</v>
      </c>
      <c r="M240" t="s">
        <v>744</v>
      </c>
      <c r="N240" t="s">
        <v>54</v>
      </c>
      <c r="O240" s="576">
        <v>55416</v>
      </c>
      <c r="P240"/>
      <c r="Q240">
        <v>3202510609</v>
      </c>
      <c r="R240">
        <v>3202513806</v>
      </c>
      <c r="S240" t="s">
        <v>872</v>
      </c>
      <c r="T240" t="s">
        <v>873</v>
      </c>
      <c r="U240" t="s">
        <v>1140</v>
      </c>
      <c r="V240" t="s">
        <v>875</v>
      </c>
      <c r="W240" t="s">
        <v>876</v>
      </c>
      <c r="X240" t="s">
        <v>877</v>
      </c>
      <c r="Y240" t="s">
        <v>878</v>
      </c>
      <c r="Z240" t="s">
        <v>879</v>
      </c>
      <c r="AA240" t="s">
        <v>880</v>
      </c>
      <c r="AB240">
        <v>9525136831</v>
      </c>
      <c r="AC240"/>
      <c r="AD240">
        <v>9525136880</v>
      </c>
      <c r="AE240" t="s">
        <v>881</v>
      </c>
      <c r="AF240" t="s">
        <v>869</v>
      </c>
      <c r="AG240" t="s">
        <v>882</v>
      </c>
      <c r="AH240" t="s">
        <v>871</v>
      </c>
      <c r="AI240" t="s">
        <v>744</v>
      </c>
      <c r="AJ240" t="s">
        <v>54</v>
      </c>
      <c r="AK240" s="576">
        <v>55416</v>
      </c>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c r="BR240"/>
      <c r="BS240"/>
      <c r="BT240"/>
      <c r="BU240"/>
      <c r="BV240"/>
      <c r="BW240"/>
      <c r="BX240"/>
      <c r="BY240"/>
      <c r="BZ240"/>
      <c r="CA240"/>
      <c r="CB240"/>
      <c r="CC240"/>
      <c r="CD240"/>
      <c r="CE240"/>
      <c r="CF240" t="s">
        <v>883</v>
      </c>
      <c r="CG240" t="s">
        <v>884</v>
      </c>
      <c r="CH240" t="s">
        <v>142</v>
      </c>
      <c r="CI240"/>
      <c r="CJ240"/>
      <c r="CK240"/>
      <c r="CL240"/>
      <c r="CM240">
        <v>1659348092</v>
      </c>
      <c r="CN240">
        <v>395</v>
      </c>
      <c r="CO240">
        <v>142</v>
      </c>
      <c r="CP240"/>
      <c r="CQ240"/>
      <c r="CR240"/>
      <c r="CS240" t="s">
        <v>788</v>
      </c>
      <c r="CT240">
        <v>12</v>
      </c>
      <c r="CU240"/>
      <c r="CV240"/>
      <c r="CW240"/>
      <c r="CX240"/>
      <c r="CY240"/>
      <c r="CZ240"/>
      <c r="DA240"/>
      <c r="DB240"/>
      <c r="DC240"/>
      <c r="DD240">
        <v>128</v>
      </c>
      <c r="DE240" t="s">
        <v>2276</v>
      </c>
      <c r="DF240"/>
      <c r="DG240"/>
      <c r="DH240">
        <v>129</v>
      </c>
      <c r="DI240" t="s">
        <v>1136</v>
      </c>
      <c r="DJ240"/>
      <c r="DK240"/>
      <c r="DL240"/>
      <c r="DM240"/>
      <c r="DN240"/>
      <c r="DO240"/>
      <c r="DP240"/>
      <c r="DQ240"/>
      <c r="DR240"/>
      <c r="DS240"/>
      <c r="DT240"/>
      <c r="DU240"/>
      <c r="DV240"/>
      <c r="DW240"/>
      <c r="DX240"/>
      <c r="DY240"/>
      <c r="DZ240"/>
      <c r="EA240"/>
      <c r="EB240"/>
      <c r="EC240"/>
      <c r="ED240"/>
      <c r="EE240"/>
      <c r="EF240"/>
      <c r="EG240"/>
      <c r="EH240"/>
      <c r="EI240"/>
      <c r="EJ240"/>
      <c r="EK240"/>
      <c r="EL240"/>
      <c r="EM240"/>
      <c r="EN240"/>
      <c r="EO240"/>
      <c r="EP240"/>
      <c r="EQ240"/>
      <c r="ER240">
        <v>48</v>
      </c>
      <c r="ES240"/>
      <c r="ET240"/>
      <c r="EU240"/>
      <c r="EV240" s="439">
        <v>513</v>
      </c>
      <c r="EW240" t="s">
        <v>2921</v>
      </c>
      <c r="EX240" t="s">
        <v>2922</v>
      </c>
      <c r="EY240" t="s">
        <v>2923</v>
      </c>
      <c r="EZ240" t="s">
        <v>54</v>
      </c>
      <c r="FA240">
        <v>55331</v>
      </c>
      <c r="FB240"/>
    </row>
    <row r="241" spans="1:158" x14ac:dyDescent="0.2">
      <c r="A241" s="439">
        <v>1449</v>
      </c>
      <c r="B241" t="s">
        <v>2277</v>
      </c>
      <c r="C241" t="s">
        <v>2278</v>
      </c>
      <c r="D241" t="s">
        <v>2279</v>
      </c>
      <c r="E241" t="s">
        <v>2280</v>
      </c>
      <c r="F241" t="s">
        <v>1796</v>
      </c>
      <c r="G241" t="s">
        <v>54</v>
      </c>
      <c r="H241" s="576">
        <v>55379</v>
      </c>
      <c r="I241" t="s">
        <v>749</v>
      </c>
      <c r="J241" t="s">
        <v>869</v>
      </c>
      <c r="K241" t="s">
        <v>870</v>
      </c>
      <c r="L241" t="s">
        <v>871</v>
      </c>
      <c r="M241" t="s">
        <v>744</v>
      </c>
      <c r="N241" t="s">
        <v>54</v>
      </c>
      <c r="O241" s="576">
        <v>55416</v>
      </c>
      <c r="P241"/>
      <c r="Q241">
        <v>9525411840</v>
      </c>
      <c r="R241">
        <v>9525436527</v>
      </c>
      <c r="S241" t="s">
        <v>872</v>
      </c>
      <c r="T241" t="s">
        <v>873</v>
      </c>
      <c r="U241" t="s">
        <v>874</v>
      </c>
      <c r="V241" t="s">
        <v>875</v>
      </c>
      <c r="W241" t="s">
        <v>876</v>
      </c>
      <c r="X241" t="s">
        <v>877</v>
      </c>
      <c r="Y241" t="s">
        <v>878</v>
      </c>
      <c r="Z241" t="s">
        <v>879</v>
      </c>
      <c r="AA241" t="s">
        <v>880</v>
      </c>
      <c r="AB241">
        <v>9525136831</v>
      </c>
      <c r="AC241"/>
      <c r="AD241">
        <v>9525136880</v>
      </c>
      <c r="AE241" t="s">
        <v>881</v>
      </c>
      <c r="AF241" t="s">
        <v>869</v>
      </c>
      <c r="AG241" t="s">
        <v>882</v>
      </c>
      <c r="AH241" t="s">
        <v>871</v>
      </c>
      <c r="AI241" t="s">
        <v>744</v>
      </c>
      <c r="AJ241" t="s">
        <v>54</v>
      </c>
      <c r="AK241" s="576">
        <v>55416</v>
      </c>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c r="BR241"/>
      <c r="BS241"/>
      <c r="BT241"/>
      <c r="BU241"/>
      <c r="BV241"/>
      <c r="BW241"/>
      <c r="BX241"/>
      <c r="BY241"/>
      <c r="BZ241"/>
      <c r="CA241"/>
      <c r="CB241"/>
      <c r="CC241"/>
      <c r="CD241"/>
      <c r="CE241"/>
      <c r="CF241" t="s">
        <v>883</v>
      </c>
      <c r="CG241" t="s">
        <v>884</v>
      </c>
      <c r="CH241" t="s">
        <v>142</v>
      </c>
      <c r="CI241"/>
      <c r="CJ241"/>
      <c r="CK241"/>
      <c r="CL241"/>
      <c r="CM241">
        <v>1659348092</v>
      </c>
      <c r="CN241">
        <v>395</v>
      </c>
      <c r="CO241">
        <v>142</v>
      </c>
      <c r="CP241"/>
      <c r="CQ241"/>
      <c r="CR241"/>
      <c r="CS241" t="s">
        <v>788</v>
      </c>
      <c r="CT241">
        <v>12</v>
      </c>
      <c r="CU241"/>
      <c r="CV241"/>
      <c r="CW241"/>
      <c r="CX241" t="s">
        <v>749</v>
      </c>
      <c r="CY241"/>
      <c r="CZ241" t="s">
        <v>749</v>
      </c>
      <c r="DA241" t="s">
        <v>749</v>
      </c>
      <c r="DB241" t="s">
        <v>749</v>
      </c>
      <c r="DC241" t="s">
        <v>749</v>
      </c>
      <c r="DD241">
        <v>128</v>
      </c>
      <c r="DE241" t="s">
        <v>2281</v>
      </c>
      <c r="DF241"/>
      <c r="DG241"/>
      <c r="DH241">
        <v>129</v>
      </c>
      <c r="DI241" t="s">
        <v>2282</v>
      </c>
      <c r="DJ241"/>
      <c r="DK241"/>
      <c r="DL241"/>
      <c r="DM241"/>
      <c r="DN241"/>
      <c r="DO241"/>
      <c r="DP241"/>
      <c r="DQ241"/>
      <c r="DR241"/>
      <c r="DS241"/>
      <c r="DT241"/>
      <c r="DU241"/>
      <c r="DV241"/>
      <c r="DW241"/>
      <c r="DX241"/>
      <c r="DY241"/>
      <c r="DZ241"/>
      <c r="EA241"/>
      <c r="EB241"/>
      <c r="EC241"/>
      <c r="ED241"/>
      <c r="EE241"/>
      <c r="EF241"/>
      <c r="EG241"/>
      <c r="EH241"/>
      <c r="EI241"/>
      <c r="EJ241"/>
      <c r="EK241"/>
      <c r="EL241"/>
      <c r="EM241"/>
      <c r="EN241"/>
      <c r="EO241"/>
      <c r="EP241"/>
      <c r="EQ241"/>
      <c r="ER241">
        <v>48</v>
      </c>
      <c r="ES241"/>
      <c r="ET241"/>
      <c r="EU241"/>
      <c r="EV241" s="439">
        <v>519</v>
      </c>
      <c r="EW241" t="s">
        <v>1150</v>
      </c>
      <c r="EX241" t="s">
        <v>1151</v>
      </c>
      <c r="EY241" t="s">
        <v>1152</v>
      </c>
      <c r="EZ241" t="s">
        <v>54</v>
      </c>
      <c r="FA241">
        <v>56031</v>
      </c>
      <c r="FB241">
        <v>1134173644</v>
      </c>
    </row>
    <row r="242" spans="1:158" x14ac:dyDescent="0.2">
      <c r="A242" s="439">
        <v>574</v>
      </c>
      <c r="B242" t="s">
        <v>2283</v>
      </c>
      <c r="C242" t="s">
        <v>871</v>
      </c>
      <c r="D242" t="s">
        <v>869</v>
      </c>
      <c r="E242" t="s">
        <v>2284</v>
      </c>
      <c r="F242" t="s">
        <v>744</v>
      </c>
      <c r="G242" t="s">
        <v>54</v>
      </c>
      <c r="H242" s="576">
        <v>55416</v>
      </c>
      <c r="I242"/>
      <c r="J242" t="s">
        <v>869</v>
      </c>
      <c r="K242" t="s">
        <v>870</v>
      </c>
      <c r="L242" t="s">
        <v>871</v>
      </c>
      <c r="M242" t="s">
        <v>744</v>
      </c>
      <c r="N242" t="s">
        <v>54</v>
      </c>
      <c r="O242" s="576">
        <v>55416</v>
      </c>
      <c r="P242"/>
      <c r="Q242">
        <v>9525411840</v>
      </c>
      <c r="R242">
        <v>9525136880</v>
      </c>
      <c r="S242" t="s">
        <v>872</v>
      </c>
      <c r="T242" t="s">
        <v>873</v>
      </c>
      <c r="U242" t="s">
        <v>874</v>
      </c>
      <c r="V242" t="s">
        <v>875</v>
      </c>
      <c r="W242" t="s">
        <v>876</v>
      </c>
      <c r="X242" t="s">
        <v>877</v>
      </c>
      <c r="Y242" t="s">
        <v>878</v>
      </c>
      <c r="Z242" t="s">
        <v>879</v>
      </c>
      <c r="AA242" t="s">
        <v>880</v>
      </c>
      <c r="AB242">
        <v>9525136831</v>
      </c>
      <c r="AC242"/>
      <c r="AD242">
        <v>9525136880</v>
      </c>
      <c r="AE242" t="s">
        <v>881</v>
      </c>
      <c r="AF242" t="s">
        <v>869</v>
      </c>
      <c r="AG242" t="s">
        <v>882</v>
      </c>
      <c r="AH242" t="s">
        <v>871</v>
      </c>
      <c r="AI242" t="s">
        <v>744</v>
      </c>
      <c r="AJ242" t="s">
        <v>54</v>
      </c>
      <c r="AK242" s="576">
        <v>55416</v>
      </c>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c r="BR242"/>
      <c r="BS242"/>
      <c r="BT242"/>
      <c r="BU242"/>
      <c r="BV242"/>
      <c r="BW242"/>
      <c r="BX242"/>
      <c r="BY242"/>
      <c r="BZ242"/>
      <c r="CA242"/>
      <c r="CB242"/>
      <c r="CC242"/>
      <c r="CD242"/>
      <c r="CE242"/>
      <c r="CF242" t="s">
        <v>883</v>
      </c>
      <c r="CG242" t="s">
        <v>884</v>
      </c>
      <c r="CH242" t="s">
        <v>142</v>
      </c>
      <c r="CI242"/>
      <c r="CJ242"/>
      <c r="CK242"/>
      <c r="CL242"/>
      <c r="CM242">
        <v>1659348092</v>
      </c>
      <c r="CN242">
        <v>395</v>
      </c>
      <c r="CO242">
        <v>142</v>
      </c>
      <c r="CP242"/>
      <c r="CQ242"/>
      <c r="CR242"/>
      <c r="CS242" t="s">
        <v>788</v>
      </c>
      <c r="CT242">
        <v>12</v>
      </c>
      <c r="CU242"/>
      <c r="CV242"/>
      <c r="CW242"/>
      <c r="CX242"/>
      <c r="CY242"/>
      <c r="CZ242"/>
      <c r="DA242"/>
      <c r="DB242"/>
      <c r="DC242"/>
      <c r="DD242">
        <v>128</v>
      </c>
      <c r="DE242" t="s">
        <v>1117</v>
      </c>
      <c r="DF242">
        <v>131</v>
      </c>
      <c r="DG242" t="s">
        <v>2285</v>
      </c>
      <c r="DH242">
        <v>129</v>
      </c>
      <c r="DI242" t="s">
        <v>2286</v>
      </c>
      <c r="DJ242">
        <v>130</v>
      </c>
      <c r="DK242" t="s">
        <v>1964</v>
      </c>
      <c r="DL242"/>
      <c r="DM242"/>
      <c r="DN242"/>
      <c r="DO242"/>
      <c r="DP242"/>
      <c r="DQ242"/>
      <c r="DR242"/>
      <c r="DS242"/>
      <c r="DT242"/>
      <c r="DU242"/>
      <c r="DV242"/>
      <c r="DW242"/>
      <c r="DX242"/>
      <c r="DY242"/>
      <c r="DZ242"/>
      <c r="EA242"/>
      <c r="EB242"/>
      <c r="EC242"/>
      <c r="ED242"/>
      <c r="EE242"/>
      <c r="EF242"/>
      <c r="EG242"/>
      <c r="EH242"/>
      <c r="EI242"/>
      <c r="EJ242"/>
      <c r="EK242"/>
      <c r="EL242"/>
      <c r="EM242"/>
      <c r="EN242"/>
      <c r="EO242"/>
      <c r="EP242"/>
      <c r="EQ242"/>
      <c r="ER242">
        <v>48</v>
      </c>
      <c r="ES242"/>
      <c r="ET242"/>
      <c r="EU242"/>
      <c r="EV242" s="439">
        <v>39</v>
      </c>
      <c r="EW242" t="s">
        <v>2924</v>
      </c>
      <c r="EX242" t="s">
        <v>1151</v>
      </c>
      <c r="EY242" t="s">
        <v>2925</v>
      </c>
      <c r="EZ242" t="s">
        <v>54</v>
      </c>
      <c r="FA242">
        <v>56031</v>
      </c>
      <c r="FB242">
        <v>1821066499</v>
      </c>
    </row>
    <row r="243" spans="1:158" x14ac:dyDescent="0.2">
      <c r="A243" s="439">
        <v>1141</v>
      </c>
      <c r="B243" t="s">
        <v>2287</v>
      </c>
      <c r="C243" t="s">
        <v>871</v>
      </c>
      <c r="D243" t="s">
        <v>869</v>
      </c>
      <c r="E243" t="s">
        <v>870</v>
      </c>
      <c r="F243" t="s">
        <v>744</v>
      </c>
      <c r="G243" t="s">
        <v>54</v>
      </c>
      <c r="H243" s="576">
        <v>55416</v>
      </c>
      <c r="I243" t="s">
        <v>749</v>
      </c>
      <c r="J243" t="s">
        <v>869</v>
      </c>
      <c r="K243" t="s">
        <v>870</v>
      </c>
      <c r="L243" t="s">
        <v>871</v>
      </c>
      <c r="M243" t="s">
        <v>744</v>
      </c>
      <c r="N243" t="s">
        <v>54</v>
      </c>
      <c r="O243" s="576">
        <v>75284</v>
      </c>
      <c r="P243" t="s">
        <v>749</v>
      </c>
      <c r="Q243">
        <v>7407455103</v>
      </c>
      <c r="R243">
        <v>7407455273</v>
      </c>
      <c r="S243" t="s">
        <v>749</v>
      </c>
      <c r="T243" t="s">
        <v>749</v>
      </c>
      <c r="U243"/>
      <c r="V243"/>
      <c r="W243"/>
      <c r="X243" t="s">
        <v>2288</v>
      </c>
      <c r="Y243" t="s">
        <v>2289</v>
      </c>
      <c r="Z243" t="s">
        <v>2290</v>
      </c>
      <c r="AA243" t="s">
        <v>2291</v>
      </c>
      <c r="AB243">
        <v>7407455103</v>
      </c>
      <c r="AC243"/>
      <c r="AD243">
        <v>7407455273</v>
      </c>
      <c r="AE243" t="s">
        <v>2292</v>
      </c>
      <c r="AF243" t="s">
        <v>869</v>
      </c>
      <c r="AG243" t="s">
        <v>870</v>
      </c>
      <c r="AH243" t="s">
        <v>871</v>
      </c>
      <c r="AI243" t="s">
        <v>744</v>
      </c>
      <c r="AJ243" t="s">
        <v>54</v>
      </c>
      <c r="AK243" s="576">
        <v>55416</v>
      </c>
      <c r="AL243" t="s">
        <v>749</v>
      </c>
      <c r="AM243" t="s">
        <v>2293</v>
      </c>
      <c r="AN243" t="s">
        <v>2294</v>
      </c>
      <c r="AO243" t="s">
        <v>2295</v>
      </c>
      <c r="AP243" t="s">
        <v>2291</v>
      </c>
      <c r="AQ243">
        <v>7143150204</v>
      </c>
      <c r="AR243"/>
      <c r="AS243">
        <v>9494520144</v>
      </c>
      <c r="AT243" t="s">
        <v>2296</v>
      </c>
      <c r="AU243" t="s">
        <v>869</v>
      </c>
      <c r="AV243" t="s">
        <v>870</v>
      </c>
      <c r="AW243" t="s">
        <v>871</v>
      </c>
      <c r="AX243" t="s">
        <v>744</v>
      </c>
      <c r="AY243" t="s">
        <v>54</v>
      </c>
      <c r="AZ243" s="576">
        <v>55416</v>
      </c>
      <c r="BA243" t="s">
        <v>749</v>
      </c>
      <c r="BB243"/>
      <c r="BC243"/>
      <c r="BD243"/>
      <c r="BE243"/>
      <c r="BF243"/>
      <c r="BG243"/>
      <c r="BH243"/>
      <c r="BI243"/>
      <c r="BJ243"/>
      <c r="BK243"/>
      <c r="BL243"/>
      <c r="BM243"/>
      <c r="BN243"/>
      <c r="BO243"/>
      <c r="BP243"/>
      <c r="BQ243"/>
      <c r="BR243"/>
      <c r="BS243"/>
      <c r="BT243"/>
      <c r="BU243"/>
      <c r="BV243"/>
      <c r="BW243"/>
      <c r="BX243"/>
      <c r="BY243"/>
      <c r="BZ243"/>
      <c r="CA243"/>
      <c r="CB243"/>
      <c r="CC243"/>
      <c r="CD243"/>
      <c r="CE243"/>
      <c r="CF243"/>
      <c r="CG243" t="s">
        <v>884</v>
      </c>
      <c r="CH243" t="s">
        <v>141</v>
      </c>
      <c r="CI243"/>
      <c r="CJ243"/>
      <c r="CK243"/>
      <c r="CL243"/>
      <c r="CM243"/>
      <c r="CN243">
        <v>2151</v>
      </c>
      <c r="CO243">
        <v>2152</v>
      </c>
      <c r="CP243">
        <v>2845</v>
      </c>
      <c r="CQ243"/>
      <c r="CR243"/>
      <c r="CS243" t="s">
        <v>788</v>
      </c>
      <c r="CT243">
        <v>12</v>
      </c>
      <c r="CU243"/>
      <c r="CV243"/>
      <c r="CW243"/>
      <c r="CX243"/>
      <c r="CY243"/>
      <c r="CZ243"/>
      <c r="DA243"/>
      <c r="DB243"/>
      <c r="DC243"/>
      <c r="DD243"/>
      <c r="DE243"/>
      <c r="DF243"/>
      <c r="DG243"/>
      <c r="DH243"/>
      <c r="DI243"/>
      <c r="DJ243"/>
      <c r="DK243"/>
      <c r="DL243"/>
      <c r="DM243"/>
      <c r="DN243"/>
      <c r="DO243"/>
      <c r="DP243"/>
      <c r="DQ243"/>
      <c r="DR243"/>
      <c r="DS243"/>
      <c r="DT243"/>
      <c r="DU243"/>
      <c r="DV243"/>
      <c r="DW243"/>
      <c r="DX243"/>
      <c r="DY243"/>
      <c r="DZ243"/>
      <c r="EA243"/>
      <c r="EB243"/>
      <c r="EC243"/>
      <c r="ED243"/>
      <c r="EE243"/>
      <c r="EF243"/>
      <c r="EG243"/>
      <c r="EH243"/>
      <c r="EI243"/>
      <c r="EJ243"/>
      <c r="EK243"/>
      <c r="EL243"/>
      <c r="EM243"/>
      <c r="EN243"/>
      <c r="EO243"/>
      <c r="EP243"/>
      <c r="EQ243"/>
      <c r="ER243">
        <v>48</v>
      </c>
      <c r="ES243"/>
      <c r="ET243"/>
      <c r="EU243"/>
      <c r="EV243" s="439">
        <v>319</v>
      </c>
      <c r="EW243" t="s">
        <v>2926</v>
      </c>
      <c r="EX243" t="s">
        <v>1151</v>
      </c>
      <c r="EY243" t="s">
        <v>1152</v>
      </c>
      <c r="EZ243" t="s">
        <v>54</v>
      </c>
      <c r="FA243">
        <v>56031</v>
      </c>
      <c r="FB243">
        <v>1376501064</v>
      </c>
    </row>
    <row r="244" spans="1:158" s="435" customFormat="1" x14ac:dyDescent="0.2">
      <c r="A244" s="439">
        <v>1658</v>
      </c>
      <c r="B244" t="s">
        <v>2297</v>
      </c>
      <c r="C244" t="s">
        <v>871</v>
      </c>
      <c r="D244" t="s">
        <v>869</v>
      </c>
      <c r="E244" t="s">
        <v>870</v>
      </c>
      <c r="F244" t="s">
        <v>744</v>
      </c>
      <c r="G244" t="s">
        <v>54</v>
      </c>
      <c r="H244" s="576">
        <v>55416</v>
      </c>
      <c r="I244" t="s">
        <v>749</v>
      </c>
      <c r="J244" t="s">
        <v>869</v>
      </c>
      <c r="K244" t="s">
        <v>870</v>
      </c>
      <c r="L244" t="s">
        <v>871</v>
      </c>
      <c r="M244" t="s">
        <v>744</v>
      </c>
      <c r="N244" t="s">
        <v>54</v>
      </c>
      <c r="O244" s="576">
        <v>75284</v>
      </c>
      <c r="P244" t="s">
        <v>749</v>
      </c>
      <c r="Q244">
        <v>7407455103</v>
      </c>
      <c r="R244">
        <v>7407455273</v>
      </c>
      <c r="S244" t="s">
        <v>749</v>
      </c>
      <c r="T244" t="s">
        <v>749</v>
      </c>
      <c r="U244"/>
      <c r="V244"/>
      <c r="W244"/>
      <c r="X244" t="s">
        <v>2288</v>
      </c>
      <c r="Y244" t="s">
        <v>2289</v>
      </c>
      <c r="Z244" t="s">
        <v>2290</v>
      </c>
      <c r="AA244" t="s">
        <v>2291</v>
      </c>
      <c r="AB244">
        <v>7407455103</v>
      </c>
      <c r="AC244"/>
      <c r="AD244">
        <v>7407455273</v>
      </c>
      <c r="AE244" t="s">
        <v>2292</v>
      </c>
      <c r="AF244" t="s">
        <v>869</v>
      </c>
      <c r="AG244" t="s">
        <v>870</v>
      </c>
      <c r="AH244" t="s">
        <v>871</v>
      </c>
      <c r="AI244" t="s">
        <v>744</v>
      </c>
      <c r="AJ244" t="s">
        <v>54</v>
      </c>
      <c r="AK244" s="576">
        <v>55416</v>
      </c>
      <c r="AL244" t="s">
        <v>749</v>
      </c>
      <c r="AM244" t="s">
        <v>2293</v>
      </c>
      <c r="AN244" t="s">
        <v>2294</v>
      </c>
      <c r="AO244" t="s">
        <v>2295</v>
      </c>
      <c r="AP244" t="s">
        <v>2291</v>
      </c>
      <c r="AQ244">
        <v>7143150204</v>
      </c>
      <c r="AR244"/>
      <c r="AS244">
        <v>9494520144</v>
      </c>
      <c r="AT244" t="s">
        <v>2296</v>
      </c>
      <c r="AU244" t="s">
        <v>869</v>
      </c>
      <c r="AV244" t="s">
        <v>870</v>
      </c>
      <c r="AW244" t="s">
        <v>871</v>
      </c>
      <c r="AX244" t="s">
        <v>744</v>
      </c>
      <c r="AY244" t="s">
        <v>54</v>
      </c>
      <c r="AZ244" s="576">
        <v>55416</v>
      </c>
      <c r="BA244" t="s">
        <v>749</v>
      </c>
      <c r="BB244"/>
      <c r="BC244"/>
      <c r="BD244"/>
      <c r="BE244"/>
      <c r="BF244"/>
      <c r="BG244"/>
      <c r="BH244"/>
      <c r="BI244"/>
      <c r="BJ244"/>
      <c r="BK244"/>
      <c r="BL244"/>
      <c r="BM244"/>
      <c r="BN244"/>
      <c r="BO244"/>
      <c r="BP244"/>
      <c r="BQ244"/>
      <c r="BR244"/>
      <c r="BS244"/>
      <c r="BT244"/>
      <c r="BU244"/>
      <c r="BV244"/>
      <c r="BW244"/>
      <c r="BX244"/>
      <c r="BY244"/>
      <c r="BZ244"/>
      <c r="CA244"/>
      <c r="CB244"/>
      <c r="CC244"/>
      <c r="CD244"/>
      <c r="CE244"/>
      <c r="CF244"/>
      <c r="CG244" t="s">
        <v>884</v>
      </c>
      <c r="CH244" t="s">
        <v>141</v>
      </c>
      <c r="CI244"/>
      <c r="CJ244"/>
      <c r="CK244"/>
      <c r="CL244"/>
      <c r="CM244"/>
      <c r="CN244">
        <v>2151</v>
      </c>
      <c r="CO244">
        <v>2152</v>
      </c>
      <c r="CP244">
        <v>2845</v>
      </c>
      <c r="CQ244"/>
      <c r="CR244"/>
      <c r="CS244" t="s">
        <v>788</v>
      </c>
      <c r="CT244">
        <v>12</v>
      </c>
      <c r="CU244"/>
      <c r="CV244"/>
      <c r="CW244"/>
      <c r="CX244"/>
      <c r="CY244"/>
      <c r="CZ244"/>
      <c r="DA244"/>
      <c r="DB244"/>
      <c r="DC244"/>
      <c r="DD244"/>
      <c r="DE244"/>
      <c r="DF244"/>
      <c r="DG244"/>
      <c r="DH244"/>
      <c r="DI244"/>
      <c r="DJ244"/>
      <c r="DK244"/>
      <c r="DL244"/>
      <c r="DM244"/>
      <c r="DN244"/>
      <c r="DO244"/>
      <c r="DP244"/>
      <c r="DQ244"/>
      <c r="DR244"/>
      <c r="DS244"/>
      <c r="DT244"/>
      <c r="DU244"/>
      <c r="DV244"/>
      <c r="DW244"/>
      <c r="DX244"/>
      <c r="DY244"/>
      <c r="DZ244"/>
      <c r="EA244"/>
      <c r="EB244"/>
      <c r="EC244"/>
      <c r="ED244"/>
      <c r="EE244"/>
      <c r="EF244"/>
      <c r="EG244"/>
      <c r="EH244"/>
      <c r="EI244"/>
      <c r="EJ244"/>
      <c r="EK244"/>
      <c r="EL244"/>
      <c r="EM244"/>
      <c r="EN244"/>
      <c r="EO244"/>
      <c r="EP244"/>
      <c r="EQ244"/>
      <c r="ER244">
        <v>48</v>
      </c>
      <c r="ES244"/>
      <c r="ET244"/>
      <c r="EU244"/>
      <c r="EV244" s="439">
        <v>1166</v>
      </c>
      <c r="EW244" t="s">
        <v>1741</v>
      </c>
      <c r="EX244" t="s">
        <v>1452</v>
      </c>
      <c r="EY244" t="s">
        <v>1450</v>
      </c>
      <c r="EZ244" t="s">
        <v>992</v>
      </c>
      <c r="FA244">
        <v>58104</v>
      </c>
      <c r="FB244"/>
    </row>
    <row r="245" spans="1:158" x14ac:dyDescent="0.2">
      <c r="A245" s="439">
        <v>1681</v>
      </c>
      <c r="B245" t="s">
        <v>2298</v>
      </c>
      <c r="C245" t="s">
        <v>871</v>
      </c>
      <c r="D245" t="s">
        <v>869</v>
      </c>
      <c r="E245" t="s">
        <v>870</v>
      </c>
      <c r="F245" t="s">
        <v>744</v>
      </c>
      <c r="G245" t="s">
        <v>54</v>
      </c>
      <c r="H245" s="576">
        <v>55416</v>
      </c>
      <c r="I245" t="s">
        <v>749</v>
      </c>
      <c r="J245" t="s">
        <v>869</v>
      </c>
      <c r="K245" t="s">
        <v>870</v>
      </c>
      <c r="L245" t="s">
        <v>871</v>
      </c>
      <c r="M245" t="s">
        <v>744</v>
      </c>
      <c r="N245" t="s">
        <v>54</v>
      </c>
      <c r="O245" s="576">
        <v>75284</v>
      </c>
      <c r="P245" t="s">
        <v>749</v>
      </c>
      <c r="Q245">
        <v>7407455103</v>
      </c>
      <c r="R245">
        <v>7407455273</v>
      </c>
      <c r="S245" t="s">
        <v>749</v>
      </c>
      <c r="T245" t="s">
        <v>749</v>
      </c>
      <c r="U245"/>
      <c r="V245"/>
      <c r="W245"/>
      <c r="X245" t="s">
        <v>2288</v>
      </c>
      <c r="Y245" t="s">
        <v>2289</v>
      </c>
      <c r="Z245" t="s">
        <v>2290</v>
      </c>
      <c r="AA245" t="s">
        <v>2291</v>
      </c>
      <c r="AB245">
        <v>7407455103</v>
      </c>
      <c r="AC245"/>
      <c r="AD245">
        <v>7407455273</v>
      </c>
      <c r="AE245" t="s">
        <v>2292</v>
      </c>
      <c r="AF245" t="s">
        <v>869</v>
      </c>
      <c r="AG245" t="s">
        <v>870</v>
      </c>
      <c r="AH245" t="s">
        <v>871</v>
      </c>
      <c r="AI245" t="s">
        <v>744</v>
      </c>
      <c r="AJ245" t="s">
        <v>54</v>
      </c>
      <c r="AK245" s="576">
        <v>55416</v>
      </c>
      <c r="AL245" t="s">
        <v>749</v>
      </c>
      <c r="AM245" t="s">
        <v>2293</v>
      </c>
      <c r="AN245" t="s">
        <v>2294</v>
      </c>
      <c r="AO245" t="s">
        <v>2295</v>
      </c>
      <c r="AP245" t="s">
        <v>2291</v>
      </c>
      <c r="AQ245">
        <v>7143150204</v>
      </c>
      <c r="AR245"/>
      <c r="AS245">
        <v>9494520144</v>
      </c>
      <c r="AT245" t="s">
        <v>2296</v>
      </c>
      <c r="AU245" t="s">
        <v>869</v>
      </c>
      <c r="AV245" t="s">
        <v>870</v>
      </c>
      <c r="AW245" t="s">
        <v>871</v>
      </c>
      <c r="AX245" t="s">
        <v>744</v>
      </c>
      <c r="AY245" t="s">
        <v>54</v>
      </c>
      <c r="AZ245" s="576">
        <v>55416</v>
      </c>
      <c r="BA245" t="s">
        <v>749</v>
      </c>
      <c r="BB245"/>
      <c r="BC245"/>
      <c r="BD245"/>
      <c r="BE245"/>
      <c r="BF245"/>
      <c r="BG245"/>
      <c r="BH245"/>
      <c r="BI245"/>
      <c r="BJ245"/>
      <c r="BK245"/>
      <c r="BL245"/>
      <c r="BM245"/>
      <c r="BN245"/>
      <c r="BO245"/>
      <c r="BP245"/>
      <c r="BQ245"/>
      <c r="BR245"/>
      <c r="BS245"/>
      <c r="BT245"/>
      <c r="BU245"/>
      <c r="BV245"/>
      <c r="BW245"/>
      <c r="BX245"/>
      <c r="BY245"/>
      <c r="BZ245"/>
      <c r="CA245"/>
      <c r="CB245"/>
      <c r="CC245"/>
      <c r="CD245"/>
      <c r="CE245"/>
      <c r="CF245"/>
      <c r="CG245" t="s">
        <v>884</v>
      </c>
      <c r="CH245" t="s">
        <v>141</v>
      </c>
      <c r="CI245"/>
      <c r="CJ245"/>
      <c r="CK245"/>
      <c r="CL245"/>
      <c r="CM245"/>
      <c r="CN245">
        <v>2151</v>
      </c>
      <c r="CO245">
        <v>2152</v>
      </c>
      <c r="CP245">
        <v>2845</v>
      </c>
      <c r="CQ245"/>
      <c r="CR245"/>
      <c r="CS245" t="s">
        <v>788</v>
      </c>
      <c r="CT245">
        <v>12</v>
      </c>
      <c r="CU245"/>
      <c r="CV245"/>
      <c r="CW245"/>
      <c r="CX245"/>
      <c r="CY245"/>
      <c r="CZ245"/>
      <c r="DA245"/>
      <c r="DB245"/>
      <c r="DC245"/>
      <c r="DD245"/>
      <c r="DE245"/>
      <c r="DF245"/>
      <c r="DG245"/>
      <c r="DH245"/>
      <c r="DI245"/>
      <c r="DJ245"/>
      <c r="DK245"/>
      <c r="DL245"/>
      <c r="DM245"/>
      <c r="DN245"/>
      <c r="DO245"/>
      <c r="DP245"/>
      <c r="DQ245"/>
      <c r="DR245"/>
      <c r="DS245"/>
      <c r="DT245"/>
      <c r="DU245"/>
      <c r="DV245"/>
      <c r="DW245"/>
      <c r="DX245"/>
      <c r="DY245"/>
      <c r="DZ245"/>
      <c r="EA245"/>
      <c r="EB245"/>
      <c r="EC245"/>
      <c r="ED245"/>
      <c r="EE245"/>
      <c r="EF245"/>
      <c r="EG245"/>
      <c r="EH245"/>
      <c r="EI245"/>
      <c r="EJ245"/>
      <c r="EK245"/>
      <c r="EL245"/>
      <c r="EM245"/>
      <c r="EN245"/>
      <c r="EO245"/>
      <c r="EP245"/>
      <c r="EQ245"/>
      <c r="ER245">
        <v>48</v>
      </c>
      <c r="ES245"/>
      <c r="ET245"/>
      <c r="EU245"/>
      <c r="EV245" s="439">
        <v>117</v>
      </c>
      <c r="EW245" t="s">
        <v>2927</v>
      </c>
      <c r="EX245" t="s">
        <v>1384</v>
      </c>
      <c r="EY245" t="s">
        <v>2033</v>
      </c>
      <c r="EZ245" t="s">
        <v>54</v>
      </c>
      <c r="FA245">
        <v>55021</v>
      </c>
      <c r="FB245">
        <v>1194751313</v>
      </c>
    </row>
    <row r="246" spans="1:158" s="435" customFormat="1" x14ac:dyDescent="0.2">
      <c r="A246" s="439">
        <v>583</v>
      </c>
      <c r="B246" t="s">
        <v>2299</v>
      </c>
      <c r="C246" t="s">
        <v>1278</v>
      </c>
      <c r="D246" t="s">
        <v>2300</v>
      </c>
      <c r="E246"/>
      <c r="F246" t="s">
        <v>1280</v>
      </c>
      <c r="G246" t="s">
        <v>54</v>
      </c>
      <c r="H246" s="576">
        <v>56501</v>
      </c>
      <c r="I246" s="576">
        <v>3905</v>
      </c>
      <c r="J246" t="s">
        <v>2300</v>
      </c>
      <c r="K246"/>
      <c r="L246" t="s">
        <v>1278</v>
      </c>
      <c r="M246" t="s">
        <v>1280</v>
      </c>
      <c r="N246" t="s">
        <v>54</v>
      </c>
      <c r="O246" s="576">
        <v>56501</v>
      </c>
      <c r="P246"/>
      <c r="Q246">
        <v>2188462000</v>
      </c>
      <c r="R246">
        <v>2188462144</v>
      </c>
      <c r="S246" t="s">
        <v>2301</v>
      </c>
      <c r="T246" t="s">
        <v>2302</v>
      </c>
      <c r="U246" t="s">
        <v>2303</v>
      </c>
      <c r="V246" t="s">
        <v>2304</v>
      </c>
      <c r="W246" t="s">
        <v>2305</v>
      </c>
      <c r="X246" t="s">
        <v>2306</v>
      </c>
      <c r="Y246" t="s">
        <v>1455</v>
      </c>
      <c r="Z246" t="s">
        <v>2307</v>
      </c>
      <c r="AA246" t="s">
        <v>2308</v>
      </c>
      <c r="AB246">
        <v>7012341260</v>
      </c>
      <c r="AC246"/>
      <c r="AD246">
        <v>7012345412</v>
      </c>
      <c r="AE246" t="s">
        <v>2309</v>
      </c>
      <c r="AF246" t="s">
        <v>2310</v>
      </c>
      <c r="AG246"/>
      <c r="AH246" t="s">
        <v>1452</v>
      </c>
      <c r="AI246" t="s">
        <v>1453</v>
      </c>
      <c r="AJ246" t="s">
        <v>992</v>
      </c>
      <c r="AK246" s="576">
        <v>58102</v>
      </c>
      <c r="AL246"/>
      <c r="AM246" t="s">
        <v>2311</v>
      </c>
      <c r="AN246" t="s">
        <v>2312</v>
      </c>
      <c r="AO246" t="s">
        <v>2313</v>
      </c>
      <c r="AP246" t="s">
        <v>2308</v>
      </c>
      <c r="AQ246">
        <v>7012348168</v>
      </c>
      <c r="AR246"/>
      <c r="AS246">
        <v>7012345412</v>
      </c>
      <c r="AT246" t="s">
        <v>2314</v>
      </c>
      <c r="AU246" t="s">
        <v>2310</v>
      </c>
      <c r="AV246"/>
      <c r="AW246" t="s">
        <v>1452</v>
      </c>
      <c r="AX246" t="s">
        <v>1453</v>
      </c>
      <c r="AY246" t="s">
        <v>992</v>
      </c>
      <c r="AZ246" s="576">
        <v>58102</v>
      </c>
      <c r="BA246"/>
      <c r="BB246" t="s">
        <v>2315</v>
      </c>
      <c r="BC246" t="s">
        <v>2316</v>
      </c>
      <c r="BD246" t="s">
        <v>2317</v>
      </c>
      <c r="BE246" t="s">
        <v>2308</v>
      </c>
      <c r="BF246">
        <v>7012346927</v>
      </c>
      <c r="BG246"/>
      <c r="BH246">
        <v>7012345412</v>
      </c>
      <c r="BI246" t="s">
        <v>2318</v>
      </c>
      <c r="BJ246" t="s">
        <v>2310</v>
      </c>
      <c r="BK246"/>
      <c r="BL246" t="s">
        <v>1452</v>
      </c>
      <c r="BM246" t="s">
        <v>1453</v>
      </c>
      <c r="BN246" t="s">
        <v>992</v>
      </c>
      <c r="BO246" s="576">
        <v>58102</v>
      </c>
      <c r="BP246"/>
      <c r="BQ246" t="s">
        <v>2306</v>
      </c>
      <c r="BR246" t="s">
        <v>1455</v>
      </c>
      <c r="BS246" t="s">
        <v>2307</v>
      </c>
      <c r="BT246" t="s">
        <v>2308</v>
      </c>
      <c r="BU246">
        <v>7012341260</v>
      </c>
      <c r="BV246"/>
      <c r="BW246">
        <v>7012345412</v>
      </c>
      <c r="BX246" t="s">
        <v>2309</v>
      </c>
      <c r="BY246" t="s">
        <v>2310</v>
      </c>
      <c r="BZ246"/>
      <c r="CA246" t="s">
        <v>1452</v>
      </c>
      <c r="CB246" t="s">
        <v>1453</v>
      </c>
      <c r="CC246" t="s">
        <v>992</v>
      </c>
      <c r="CD246" s="576">
        <v>58102</v>
      </c>
      <c r="CE246"/>
      <c r="CF246" t="s">
        <v>2319</v>
      </c>
      <c r="CG246" t="s">
        <v>2308</v>
      </c>
      <c r="CH246" t="s">
        <v>141</v>
      </c>
      <c r="CI246"/>
      <c r="CJ246"/>
      <c r="CK246"/>
      <c r="CL246"/>
      <c r="CM246">
        <v>1235170747</v>
      </c>
      <c r="CN246">
        <v>3023</v>
      </c>
      <c r="CO246">
        <v>186</v>
      </c>
      <c r="CP246">
        <v>89</v>
      </c>
      <c r="CQ246">
        <v>187</v>
      </c>
      <c r="CR246">
        <v>186</v>
      </c>
      <c r="CS246" t="s">
        <v>788</v>
      </c>
      <c r="CT246">
        <v>12</v>
      </c>
      <c r="CU246"/>
      <c r="CV246"/>
      <c r="CW246"/>
      <c r="CX246"/>
      <c r="CY246"/>
      <c r="CZ246"/>
      <c r="DA246"/>
      <c r="DB246"/>
      <c r="DC246"/>
      <c r="DD246"/>
      <c r="DE246"/>
      <c r="DF246"/>
      <c r="DG246"/>
      <c r="DH246">
        <v>129</v>
      </c>
      <c r="DI246" t="s">
        <v>2320</v>
      </c>
      <c r="DJ246"/>
      <c r="DK246"/>
      <c r="DL246"/>
      <c r="DM246"/>
      <c r="DN246"/>
      <c r="DO246"/>
      <c r="DP246"/>
      <c r="DQ246"/>
      <c r="DR246"/>
      <c r="DS246"/>
      <c r="DT246"/>
      <c r="DU246"/>
      <c r="DV246"/>
      <c r="DW246"/>
      <c r="DX246"/>
      <c r="DY246"/>
      <c r="DZ246"/>
      <c r="EA246"/>
      <c r="EB246"/>
      <c r="EC246"/>
      <c r="ED246"/>
      <c r="EE246"/>
      <c r="EF246"/>
      <c r="EG246"/>
      <c r="EH246"/>
      <c r="EI246"/>
      <c r="EJ246"/>
      <c r="EK246"/>
      <c r="EL246"/>
      <c r="EM246"/>
      <c r="EN246"/>
      <c r="EO246"/>
      <c r="EP246"/>
      <c r="EQ246"/>
      <c r="ER246">
        <v>29</v>
      </c>
      <c r="ES246"/>
      <c r="ET246"/>
      <c r="EU246"/>
      <c r="EV246" s="439">
        <v>361</v>
      </c>
      <c r="EW246" t="s">
        <v>2928</v>
      </c>
      <c r="EX246" t="s">
        <v>1384</v>
      </c>
      <c r="EY246" t="s">
        <v>2929</v>
      </c>
      <c r="EZ246" t="s">
        <v>54</v>
      </c>
      <c r="FA246">
        <v>55021</v>
      </c>
      <c r="FB246">
        <v>1114057023</v>
      </c>
    </row>
    <row r="247" spans="1:158" x14ac:dyDescent="0.2">
      <c r="A247" s="439">
        <v>679</v>
      </c>
      <c r="B247" t="s">
        <v>2321</v>
      </c>
      <c r="C247" t="s">
        <v>2322</v>
      </c>
      <c r="D247" t="s">
        <v>2323</v>
      </c>
      <c r="E247"/>
      <c r="F247" t="s">
        <v>979</v>
      </c>
      <c r="G247" t="s">
        <v>54</v>
      </c>
      <c r="H247" s="576">
        <v>56721</v>
      </c>
      <c r="I247"/>
      <c r="J247" t="s">
        <v>2324</v>
      </c>
      <c r="K247"/>
      <c r="L247" t="s">
        <v>2322</v>
      </c>
      <c r="M247" t="s">
        <v>979</v>
      </c>
      <c r="N247" t="s">
        <v>54</v>
      </c>
      <c r="O247" s="576">
        <v>56721</v>
      </c>
      <c r="P247"/>
      <c r="Q247">
        <v>2187736800</v>
      </c>
      <c r="R247"/>
      <c r="S247" t="s">
        <v>2301</v>
      </c>
      <c r="T247" t="s">
        <v>2302</v>
      </c>
      <c r="U247" t="s">
        <v>2303</v>
      </c>
      <c r="V247" t="s">
        <v>2304</v>
      </c>
      <c r="W247" t="s">
        <v>2325</v>
      </c>
      <c r="X247" t="s">
        <v>2306</v>
      </c>
      <c r="Y247" t="s">
        <v>1455</v>
      </c>
      <c r="Z247" t="s">
        <v>2307</v>
      </c>
      <c r="AA247" t="s">
        <v>2308</v>
      </c>
      <c r="AB247">
        <v>7012341260</v>
      </c>
      <c r="AC247"/>
      <c r="AD247">
        <v>7012345412</v>
      </c>
      <c r="AE247" t="s">
        <v>2309</v>
      </c>
      <c r="AF247" t="s">
        <v>2310</v>
      </c>
      <c r="AG247"/>
      <c r="AH247" t="s">
        <v>1452</v>
      </c>
      <c r="AI247" t="s">
        <v>1453</v>
      </c>
      <c r="AJ247" t="s">
        <v>992</v>
      </c>
      <c r="AK247" s="576">
        <v>58102</v>
      </c>
      <c r="AL247"/>
      <c r="AM247" t="s">
        <v>2311</v>
      </c>
      <c r="AN247" t="s">
        <v>2312</v>
      </c>
      <c r="AO247" t="s">
        <v>2313</v>
      </c>
      <c r="AP247" t="s">
        <v>2308</v>
      </c>
      <c r="AQ247">
        <v>7012348168</v>
      </c>
      <c r="AR247"/>
      <c r="AS247">
        <v>7012345412</v>
      </c>
      <c r="AT247" t="s">
        <v>2314</v>
      </c>
      <c r="AU247" t="s">
        <v>2310</v>
      </c>
      <c r="AV247"/>
      <c r="AW247" t="s">
        <v>1452</v>
      </c>
      <c r="AX247" t="s">
        <v>1453</v>
      </c>
      <c r="AY247" t="s">
        <v>992</v>
      </c>
      <c r="AZ247" s="576">
        <v>58102</v>
      </c>
      <c r="BA247"/>
      <c r="BB247" t="s">
        <v>2315</v>
      </c>
      <c r="BC247" t="s">
        <v>2316</v>
      </c>
      <c r="BD247" t="s">
        <v>2317</v>
      </c>
      <c r="BE247" t="s">
        <v>2308</v>
      </c>
      <c r="BF247">
        <v>7012346927</v>
      </c>
      <c r="BG247"/>
      <c r="BH247">
        <v>7012345412</v>
      </c>
      <c r="BI247" t="s">
        <v>2318</v>
      </c>
      <c r="BJ247" t="s">
        <v>2310</v>
      </c>
      <c r="BK247"/>
      <c r="BL247" t="s">
        <v>1452</v>
      </c>
      <c r="BM247" t="s">
        <v>1453</v>
      </c>
      <c r="BN247" t="s">
        <v>992</v>
      </c>
      <c r="BO247" s="576">
        <v>58102</v>
      </c>
      <c r="BP247"/>
      <c r="BQ247" t="s">
        <v>2306</v>
      </c>
      <c r="BR247" t="s">
        <v>1455</v>
      </c>
      <c r="BS247" t="s">
        <v>2307</v>
      </c>
      <c r="BT247" t="s">
        <v>2308</v>
      </c>
      <c r="BU247">
        <v>7012341260</v>
      </c>
      <c r="BV247"/>
      <c r="BW247">
        <v>7012345412</v>
      </c>
      <c r="BX247" t="s">
        <v>2309</v>
      </c>
      <c r="BY247" t="s">
        <v>2310</v>
      </c>
      <c r="BZ247"/>
      <c r="CA247" t="s">
        <v>1452</v>
      </c>
      <c r="CB247" t="s">
        <v>1453</v>
      </c>
      <c r="CC247" t="s">
        <v>992</v>
      </c>
      <c r="CD247" s="576">
        <v>58102</v>
      </c>
      <c r="CE247"/>
      <c r="CF247" t="s">
        <v>2319</v>
      </c>
      <c r="CG247" t="s">
        <v>2308</v>
      </c>
      <c r="CH247" t="s">
        <v>141</v>
      </c>
      <c r="CI247"/>
      <c r="CJ247"/>
      <c r="CK247"/>
      <c r="CL247"/>
      <c r="CM247">
        <v>1437355393</v>
      </c>
      <c r="CN247">
        <v>437</v>
      </c>
      <c r="CO247">
        <v>186</v>
      </c>
      <c r="CP247">
        <v>89</v>
      </c>
      <c r="CQ247">
        <v>187</v>
      </c>
      <c r="CR247">
        <v>186</v>
      </c>
      <c r="CS247" t="s">
        <v>788</v>
      </c>
      <c r="CT247">
        <v>12</v>
      </c>
      <c r="CU247"/>
      <c r="CV247"/>
      <c r="CW247"/>
      <c r="CX247"/>
      <c r="CY247"/>
      <c r="CZ247"/>
      <c r="DA247"/>
      <c r="DB247"/>
      <c r="DC247"/>
      <c r="DD247">
        <v>128</v>
      </c>
      <c r="DE247" t="s">
        <v>2326</v>
      </c>
      <c r="DF247"/>
      <c r="DG247"/>
      <c r="DH247"/>
      <c r="DI247"/>
      <c r="DJ247"/>
      <c r="DK247"/>
      <c r="DL247"/>
      <c r="DM247"/>
      <c r="DN247"/>
      <c r="DO247"/>
      <c r="DP247"/>
      <c r="DQ247"/>
      <c r="DR247"/>
      <c r="DS247"/>
      <c r="DT247"/>
      <c r="DU247"/>
      <c r="DV247"/>
      <c r="DW247"/>
      <c r="DX247"/>
      <c r="DY247"/>
      <c r="DZ247"/>
      <c r="EA247"/>
      <c r="EB247"/>
      <c r="EC247"/>
      <c r="ED247"/>
      <c r="EE247"/>
      <c r="EF247"/>
      <c r="EG247"/>
      <c r="EH247"/>
      <c r="EI247"/>
      <c r="EJ247"/>
      <c r="EK247"/>
      <c r="EL247"/>
      <c r="EM247"/>
      <c r="EN247"/>
      <c r="EO247"/>
      <c r="EP247"/>
      <c r="EQ247"/>
      <c r="ER247">
        <v>29</v>
      </c>
      <c r="ES247"/>
      <c r="ET247"/>
      <c r="EU247"/>
      <c r="EV247" s="439">
        <v>1064</v>
      </c>
      <c r="EW247" t="s">
        <v>2032</v>
      </c>
      <c r="EX247" t="s">
        <v>1384</v>
      </c>
      <c r="EY247" t="s">
        <v>2033</v>
      </c>
      <c r="EZ247" t="s">
        <v>54</v>
      </c>
      <c r="FA247">
        <v>55021</v>
      </c>
      <c r="FB247">
        <v>1356458475</v>
      </c>
    </row>
    <row r="248" spans="1:158" x14ac:dyDescent="0.2">
      <c r="A248" s="439">
        <v>613</v>
      </c>
      <c r="B248" t="s">
        <v>2327</v>
      </c>
      <c r="C248" t="s">
        <v>2328</v>
      </c>
      <c r="D248" t="s">
        <v>2329</v>
      </c>
      <c r="E248"/>
      <c r="F248"/>
      <c r="G248" t="s">
        <v>2330</v>
      </c>
      <c r="H248" s="576">
        <v>57117</v>
      </c>
      <c r="I248" s="576">
        <v>5039</v>
      </c>
      <c r="J248" t="s">
        <v>2331</v>
      </c>
      <c r="K248"/>
      <c r="L248" t="s">
        <v>2328</v>
      </c>
      <c r="M248"/>
      <c r="N248" t="s">
        <v>2330</v>
      </c>
      <c r="O248" s="576">
        <v>57117</v>
      </c>
      <c r="P248" s="576">
        <v>5039</v>
      </c>
      <c r="Q248">
        <v>6053331000</v>
      </c>
      <c r="R248">
        <v>6053331531</v>
      </c>
      <c r="S248" t="s">
        <v>1930</v>
      </c>
      <c r="T248" t="s">
        <v>1748</v>
      </c>
      <c r="U248" t="s">
        <v>1201</v>
      </c>
      <c r="V248" t="s">
        <v>2332</v>
      </c>
      <c r="W248" t="s">
        <v>2333</v>
      </c>
      <c r="X248" t="s">
        <v>1199</v>
      </c>
      <c r="Y248" t="s">
        <v>2334</v>
      </c>
      <c r="Z248" t="s">
        <v>1160</v>
      </c>
      <c r="AA248" t="s">
        <v>2308</v>
      </c>
      <c r="AB248">
        <v>6053333770</v>
      </c>
      <c r="AC248"/>
      <c r="AD248"/>
      <c r="AE248" t="s">
        <v>2335</v>
      </c>
      <c r="AF248" t="s">
        <v>2329</v>
      </c>
      <c r="AG248"/>
      <c r="AH248" t="s">
        <v>2328</v>
      </c>
      <c r="AI248" t="s">
        <v>2336</v>
      </c>
      <c r="AJ248" t="s">
        <v>2330</v>
      </c>
      <c r="AK248" s="576">
        <v>57117</v>
      </c>
      <c r="AL248" s="576">
        <v>5039</v>
      </c>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c r="BR248"/>
      <c r="BS248"/>
      <c r="BT248"/>
      <c r="BU248"/>
      <c r="BV248"/>
      <c r="BW248"/>
      <c r="BX248"/>
      <c r="BY248"/>
      <c r="BZ248"/>
      <c r="CA248"/>
      <c r="CB248"/>
      <c r="CC248"/>
      <c r="CD248"/>
      <c r="CE248"/>
      <c r="CF248" t="s">
        <v>2319</v>
      </c>
      <c r="CG248" t="s">
        <v>2308</v>
      </c>
      <c r="CH248" t="s">
        <v>141</v>
      </c>
      <c r="CI248"/>
      <c r="CJ248"/>
      <c r="CK248"/>
      <c r="CL248"/>
      <c r="CM248">
        <v>1821017880</v>
      </c>
      <c r="CN248">
        <v>258</v>
      </c>
      <c r="CO248">
        <v>145</v>
      </c>
      <c r="CP248"/>
      <c r="CQ248"/>
      <c r="CR248"/>
      <c r="CS248" t="s">
        <v>862</v>
      </c>
      <c r="CT248">
        <v>12</v>
      </c>
      <c r="CU248"/>
      <c r="CV248"/>
      <c r="CW248"/>
      <c r="CX248"/>
      <c r="CY248"/>
      <c r="CZ248"/>
      <c r="DA248"/>
      <c r="DB248"/>
      <c r="DC248"/>
      <c r="DD248"/>
      <c r="DE248"/>
      <c r="DF248"/>
      <c r="DG248"/>
      <c r="DH248"/>
      <c r="DI248"/>
      <c r="DJ248"/>
      <c r="DK248"/>
      <c r="DL248"/>
      <c r="DM248"/>
      <c r="DN248"/>
      <c r="DO248"/>
      <c r="DP248"/>
      <c r="DQ248"/>
      <c r="DR248"/>
      <c r="DS248"/>
      <c r="DT248"/>
      <c r="DU248"/>
      <c r="DV248"/>
      <c r="DW248"/>
      <c r="DX248"/>
      <c r="DY248"/>
      <c r="DZ248"/>
      <c r="EA248"/>
      <c r="EB248"/>
      <c r="EC248"/>
      <c r="ED248"/>
      <c r="EE248"/>
      <c r="EF248"/>
      <c r="EG248"/>
      <c r="EH248"/>
      <c r="EI248"/>
      <c r="EJ248"/>
      <c r="EK248"/>
      <c r="EL248"/>
      <c r="EM248"/>
      <c r="EN248"/>
      <c r="EO248"/>
      <c r="EP248"/>
      <c r="EQ248"/>
      <c r="ER248">
        <v>29</v>
      </c>
      <c r="ES248"/>
      <c r="ET248"/>
      <c r="EU248"/>
      <c r="EV248" s="439">
        <v>250</v>
      </c>
      <c r="EW248" t="s">
        <v>2930</v>
      </c>
      <c r="EX248" t="s">
        <v>2931</v>
      </c>
      <c r="EY248" t="s">
        <v>2932</v>
      </c>
      <c r="EZ248" t="s">
        <v>54</v>
      </c>
      <c r="FA248">
        <v>56538</v>
      </c>
      <c r="FB248">
        <v>1962583039</v>
      </c>
    </row>
    <row r="249" spans="1:158" x14ac:dyDescent="0.2">
      <c r="A249" s="439">
        <v>614</v>
      </c>
      <c r="B249" t="s">
        <v>2337</v>
      </c>
      <c r="C249" t="s">
        <v>2328</v>
      </c>
      <c r="D249" t="s">
        <v>2329</v>
      </c>
      <c r="E249"/>
      <c r="F249"/>
      <c r="G249" t="s">
        <v>2330</v>
      </c>
      <c r="H249" s="576">
        <v>57117</v>
      </c>
      <c r="I249" s="576">
        <v>5039</v>
      </c>
      <c r="J249" t="s">
        <v>2331</v>
      </c>
      <c r="K249"/>
      <c r="L249" t="s">
        <v>2328</v>
      </c>
      <c r="M249"/>
      <c r="N249" t="s">
        <v>2330</v>
      </c>
      <c r="O249" s="576">
        <v>57117</v>
      </c>
      <c r="P249" s="576">
        <v>5039</v>
      </c>
      <c r="Q249">
        <v>6053331000</v>
      </c>
      <c r="R249">
        <v>6053331531</v>
      </c>
      <c r="S249" t="s">
        <v>1930</v>
      </c>
      <c r="T249" t="s">
        <v>1748</v>
      </c>
      <c r="U249" t="s">
        <v>1201</v>
      </c>
      <c r="V249" t="s">
        <v>2332</v>
      </c>
      <c r="W249" t="s">
        <v>2333</v>
      </c>
      <c r="X249" t="s">
        <v>1199</v>
      </c>
      <c r="Y249" t="s">
        <v>2334</v>
      </c>
      <c r="Z249" t="s">
        <v>1160</v>
      </c>
      <c r="AA249" t="s">
        <v>2308</v>
      </c>
      <c r="AB249">
        <v>6053333770</v>
      </c>
      <c r="AC249"/>
      <c r="AD249"/>
      <c r="AE249" t="s">
        <v>2335</v>
      </c>
      <c r="AF249" t="s">
        <v>2329</v>
      </c>
      <c r="AG249"/>
      <c r="AH249" t="s">
        <v>2328</v>
      </c>
      <c r="AI249" t="s">
        <v>2336</v>
      </c>
      <c r="AJ249" t="s">
        <v>2330</v>
      </c>
      <c r="AK249" s="576">
        <v>57117</v>
      </c>
      <c r="AL249" s="576">
        <v>5039</v>
      </c>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c r="BR249"/>
      <c r="BS249"/>
      <c r="BT249"/>
      <c r="BU249"/>
      <c r="BV249"/>
      <c r="BW249"/>
      <c r="BX249"/>
      <c r="BY249"/>
      <c r="BZ249"/>
      <c r="CA249"/>
      <c r="CB249"/>
      <c r="CC249"/>
      <c r="CD249"/>
      <c r="CE249"/>
      <c r="CF249" t="s">
        <v>2319</v>
      </c>
      <c r="CG249" t="s">
        <v>2308</v>
      </c>
      <c r="CH249" t="s">
        <v>141</v>
      </c>
      <c r="CI249"/>
      <c r="CJ249"/>
      <c r="CK249"/>
      <c r="CL249"/>
      <c r="CM249">
        <v>1821017880</v>
      </c>
      <c r="CN249">
        <v>162</v>
      </c>
      <c r="CO249">
        <v>145</v>
      </c>
      <c r="CP249"/>
      <c r="CQ249"/>
      <c r="CR249"/>
      <c r="CS249" t="s">
        <v>862</v>
      </c>
      <c r="CT249">
        <v>12</v>
      </c>
      <c r="CU249"/>
      <c r="CV249"/>
      <c r="CW249"/>
      <c r="CX249"/>
      <c r="CY249"/>
      <c r="CZ249"/>
      <c r="DA249"/>
      <c r="DB249"/>
      <c r="DC249"/>
      <c r="DD249"/>
      <c r="DE249"/>
      <c r="DF249"/>
      <c r="DG249"/>
      <c r="DH249"/>
      <c r="DI249"/>
      <c r="DJ249"/>
      <c r="DK249"/>
      <c r="DL249"/>
      <c r="DM249"/>
      <c r="DN249"/>
      <c r="DO249"/>
      <c r="DP249"/>
      <c r="DQ249"/>
      <c r="DR249"/>
      <c r="DS249"/>
      <c r="DT249"/>
      <c r="DU249"/>
      <c r="DV249"/>
      <c r="DW249"/>
      <c r="DX249"/>
      <c r="DY249"/>
      <c r="DZ249"/>
      <c r="EA249"/>
      <c r="EB249"/>
      <c r="EC249"/>
      <c r="ED249"/>
      <c r="EE249"/>
      <c r="EF249"/>
      <c r="EG249"/>
      <c r="EH249"/>
      <c r="EI249"/>
      <c r="EJ249"/>
      <c r="EK249"/>
      <c r="EL249"/>
      <c r="EM249"/>
      <c r="EN249"/>
      <c r="EO249"/>
      <c r="EP249"/>
      <c r="EQ249"/>
      <c r="ER249">
        <v>29</v>
      </c>
      <c r="ES249"/>
      <c r="ET249"/>
      <c r="EU249"/>
      <c r="EV249" s="439">
        <v>71</v>
      </c>
      <c r="EW249" t="s">
        <v>2933</v>
      </c>
      <c r="EX249" t="s">
        <v>2931</v>
      </c>
      <c r="EY249" t="s">
        <v>2934</v>
      </c>
      <c r="EZ249" t="s">
        <v>54</v>
      </c>
      <c r="FA249">
        <v>56537</v>
      </c>
      <c r="FB249">
        <v>1093713372</v>
      </c>
    </row>
    <row r="250" spans="1:158" x14ac:dyDescent="0.2">
      <c r="A250" s="439">
        <v>615</v>
      </c>
      <c r="B250" t="s">
        <v>2338</v>
      </c>
      <c r="C250" t="s">
        <v>2328</v>
      </c>
      <c r="D250" t="s">
        <v>2329</v>
      </c>
      <c r="E250"/>
      <c r="F250"/>
      <c r="G250" t="s">
        <v>2330</v>
      </c>
      <c r="H250" s="576">
        <v>57117</v>
      </c>
      <c r="I250" s="576">
        <v>5039</v>
      </c>
      <c r="J250" t="s">
        <v>2331</v>
      </c>
      <c r="K250"/>
      <c r="L250" t="s">
        <v>2328</v>
      </c>
      <c r="M250"/>
      <c r="N250" t="s">
        <v>2330</v>
      </c>
      <c r="O250" s="576">
        <v>57117</v>
      </c>
      <c r="P250" s="576">
        <v>5039</v>
      </c>
      <c r="Q250">
        <v>6053331000</v>
      </c>
      <c r="R250">
        <v>6053331531</v>
      </c>
      <c r="S250" t="s">
        <v>1930</v>
      </c>
      <c r="T250" t="s">
        <v>1748</v>
      </c>
      <c r="U250" t="s">
        <v>1201</v>
      </c>
      <c r="V250" t="s">
        <v>2332</v>
      </c>
      <c r="W250" t="s">
        <v>2333</v>
      </c>
      <c r="X250" t="s">
        <v>1199</v>
      </c>
      <c r="Y250" t="s">
        <v>2334</v>
      </c>
      <c r="Z250" t="s">
        <v>1160</v>
      </c>
      <c r="AA250" t="s">
        <v>2308</v>
      </c>
      <c r="AB250">
        <v>6053333770</v>
      </c>
      <c r="AC250"/>
      <c r="AD250"/>
      <c r="AE250" t="s">
        <v>2335</v>
      </c>
      <c r="AF250" t="s">
        <v>2329</v>
      </c>
      <c r="AG250"/>
      <c r="AH250" t="s">
        <v>2328</v>
      </c>
      <c r="AI250" t="s">
        <v>2336</v>
      </c>
      <c r="AJ250" t="s">
        <v>2330</v>
      </c>
      <c r="AK250" s="576">
        <v>57117</v>
      </c>
      <c r="AL250" s="576">
        <v>5039</v>
      </c>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c r="BR250"/>
      <c r="BS250"/>
      <c r="BT250"/>
      <c r="BU250"/>
      <c r="BV250"/>
      <c r="BW250"/>
      <c r="BX250"/>
      <c r="BY250"/>
      <c r="BZ250"/>
      <c r="CA250"/>
      <c r="CB250"/>
      <c r="CC250"/>
      <c r="CD250"/>
      <c r="CE250"/>
      <c r="CF250" t="s">
        <v>2319</v>
      </c>
      <c r="CG250" t="s">
        <v>2308</v>
      </c>
      <c r="CH250" t="s">
        <v>141</v>
      </c>
      <c r="CI250"/>
      <c r="CJ250"/>
      <c r="CK250"/>
      <c r="CL250"/>
      <c r="CM250">
        <v>1821017880</v>
      </c>
      <c r="CN250">
        <v>163</v>
      </c>
      <c r="CO250">
        <v>145</v>
      </c>
      <c r="CP250"/>
      <c r="CQ250"/>
      <c r="CR250"/>
      <c r="CS250" t="s">
        <v>862</v>
      </c>
      <c r="CT250">
        <v>12</v>
      </c>
      <c r="CU250"/>
      <c r="CV250"/>
      <c r="CW250"/>
      <c r="CX250"/>
      <c r="CY250"/>
      <c r="CZ250"/>
      <c r="DA250"/>
      <c r="DB250"/>
      <c r="DC250"/>
      <c r="DD250"/>
      <c r="DE250"/>
      <c r="DF250"/>
      <c r="DG250"/>
      <c r="DH250"/>
      <c r="DI250"/>
      <c r="DJ250"/>
      <c r="DK250"/>
      <c r="DL250"/>
      <c r="DM250"/>
      <c r="DN250"/>
      <c r="DO250"/>
      <c r="DP250"/>
      <c r="DQ250"/>
      <c r="DR250"/>
      <c r="DS250"/>
      <c r="DT250"/>
      <c r="DU250"/>
      <c r="DV250"/>
      <c r="DW250"/>
      <c r="DX250"/>
      <c r="DY250"/>
      <c r="DZ250"/>
      <c r="EA250"/>
      <c r="EB250"/>
      <c r="EC250"/>
      <c r="ED250"/>
      <c r="EE250"/>
      <c r="EF250"/>
      <c r="EG250"/>
      <c r="EH250"/>
      <c r="EI250"/>
      <c r="EJ250"/>
      <c r="EK250"/>
      <c r="EL250"/>
      <c r="EM250"/>
      <c r="EN250"/>
      <c r="EO250"/>
      <c r="EP250"/>
      <c r="EQ250"/>
      <c r="ER250">
        <v>29</v>
      </c>
      <c r="ES250"/>
      <c r="ET250"/>
      <c r="EU250"/>
      <c r="EV250" s="439">
        <v>758</v>
      </c>
      <c r="EW250" t="s">
        <v>942</v>
      </c>
      <c r="EX250" t="s">
        <v>943</v>
      </c>
      <c r="EY250" t="s">
        <v>944</v>
      </c>
      <c r="EZ250" t="s">
        <v>54</v>
      </c>
      <c r="FA250">
        <v>55025</v>
      </c>
      <c r="FB250">
        <v>1760421135</v>
      </c>
    </row>
    <row r="251" spans="1:158" x14ac:dyDescent="0.2">
      <c r="A251" s="439">
        <v>1685</v>
      </c>
      <c r="B251" t="s">
        <v>2339</v>
      </c>
      <c r="C251" t="s">
        <v>2340</v>
      </c>
      <c r="D251" t="s">
        <v>2341</v>
      </c>
      <c r="E251"/>
      <c r="F251"/>
      <c r="G251" t="s">
        <v>813</v>
      </c>
      <c r="H251" s="576">
        <v>53527</v>
      </c>
      <c r="I251"/>
      <c r="J251" t="s">
        <v>2341</v>
      </c>
      <c r="K251"/>
      <c r="L251" t="s">
        <v>2340</v>
      </c>
      <c r="M251" t="s">
        <v>2342</v>
      </c>
      <c r="N251" t="s">
        <v>813</v>
      </c>
      <c r="O251" s="576">
        <v>53527</v>
      </c>
      <c r="P251"/>
      <c r="Q251">
        <v>6088399050</v>
      </c>
      <c r="R251">
        <v>6088398950</v>
      </c>
      <c r="S251" t="s">
        <v>2343</v>
      </c>
      <c r="T251" t="s">
        <v>2344</v>
      </c>
      <c r="U251" t="s">
        <v>1201</v>
      </c>
      <c r="V251" t="s">
        <v>2345</v>
      </c>
      <c r="W251" t="s">
        <v>2346</v>
      </c>
      <c r="X251" t="s">
        <v>1057</v>
      </c>
      <c r="Y251" t="s">
        <v>2347</v>
      </c>
      <c r="Z251" t="s">
        <v>2348</v>
      </c>
      <c r="AA251" t="s">
        <v>2349</v>
      </c>
      <c r="AB251">
        <v>6088399050</v>
      </c>
      <c r="AC251">
        <v>1113</v>
      </c>
      <c r="AD251">
        <v>6088398950</v>
      </c>
      <c r="AE251" t="s">
        <v>2350</v>
      </c>
      <c r="AF251" t="s">
        <v>2341</v>
      </c>
      <c r="AG251"/>
      <c r="AH251" t="s">
        <v>2340</v>
      </c>
      <c r="AI251" t="s">
        <v>2342</v>
      </c>
      <c r="AJ251" t="s">
        <v>813</v>
      </c>
      <c r="AK251" s="576">
        <v>53527</v>
      </c>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c r="BR251"/>
      <c r="BS251"/>
      <c r="BT251"/>
      <c r="BU251"/>
      <c r="BV251"/>
      <c r="BW251"/>
      <c r="BX251"/>
      <c r="BY251"/>
      <c r="BZ251"/>
      <c r="CA251"/>
      <c r="CB251"/>
      <c r="CC251"/>
      <c r="CD251"/>
      <c r="CE251"/>
      <c r="CF251" t="s">
        <v>2351</v>
      </c>
      <c r="CG251" t="s">
        <v>2349</v>
      </c>
      <c r="CH251" t="s">
        <v>142</v>
      </c>
      <c r="CI251"/>
      <c r="CJ251"/>
      <c r="CK251"/>
      <c r="CL251"/>
      <c r="CM251">
        <v>1295785079</v>
      </c>
      <c r="CN251">
        <v>425</v>
      </c>
      <c r="CO251">
        <v>157</v>
      </c>
      <c r="CP251"/>
      <c r="CQ251"/>
      <c r="CR251"/>
      <c r="CS251" t="s">
        <v>788</v>
      </c>
      <c r="CT251">
        <v>12</v>
      </c>
      <c r="CU251"/>
      <c r="CV251"/>
      <c r="CW251"/>
      <c r="CX251"/>
      <c r="CY251"/>
      <c r="CZ251"/>
      <c r="DA251"/>
      <c r="DB251"/>
      <c r="DC251"/>
      <c r="DD251"/>
      <c r="DE251"/>
      <c r="DF251"/>
      <c r="DG251"/>
      <c r="DH251"/>
      <c r="DI251"/>
      <c r="DJ251"/>
      <c r="DK251"/>
      <c r="DL251"/>
      <c r="DM251"/>
      <c r="DN251"/>
      <c r="DO251"/>
      <c r="DP251"/>
      <c r="DQ251"/>
      <c r="DR251"/>
      <c r="DS251"/>
      <c r="DT251"/>
      <c r="DU251"/>
      <c r="DV251"/>
      <c r="DW251"/>
      <c r="DX251">
        <v>135</v>
      </c>
      <c r="DY251" t="s">
        <v>1854</v>
      </c>
      <c r="DZ251"/>
      <c r="EA251"/>
      <c r="EB251"/>
      <c r="EC251"/>
      <c r="ED251"/>
      <c r="EE251"/>
      <c r="EF251">
        <v>138</v>
      </c>
      <c r="EG251" t="s">
        <v>1854</v>
      </c>
      <c r="EH251"/>
      <c r="EI251"/>
      <c r="EJ251"/>
      <c r="EK251"/>
      <c r="EL251"/>
      <c r="EM251"/>
      <c r="EN251"/>
      <c r="EO251"/>
      <c r="EP251"/>
      <c r="EQ251"/>
      <c r="ER251">
        <v>75</v>
      </c>
      <c r="ES251"/>
      <c r="ET251"/>
      <c r="EU251"/>
      <c r="EV251" s="439">
        <v>1231</v>
      </c>
      <c r="EW251" t="s">
        <v>2583</v>
      </c>
      <c r="EX251" t="s">
        <v>943</v>
      </c>
      <c r="EY251" t="s">
        <v>2584</v>
      </c>
      <c r="EZ251" t="s">
        <v>54</v>
      </c>
      <c r="FA251">
        <v>55025</v>
      </c>
      <c r="FB251">
        <v>1285179945</v>
      </c>
    </row>
    <row r="252" spans="1:158" x14ac:dyDescent="0.2">
      <c r="A252" s="439">
        <v>1439</v>
      </c>
      <c r="B252" t="s">
        <v>2352</v>
      </c>
      <c r="C252" t="s">
        <v>2340</v>
      </c>
      <c r="D252" t="s">
        <v>2341</v>
      </c>
      <c r="E252"/>
      <c r="F252"/>
      <c r="G252" t="s">
        <v>813</v>
      </c>
      <c r="H252" s="576">
        <v>53527</v>
      </c>
      <c r="I252"/>
      <c r="J252" t="s">
        <v>2341</v>
      </c>
      <c r="K252"/>
      <c r="L252" t="s">
        <v>2340</v>
      </c>
      <c r="M252" t="s">
        <v>2342</v>
      </c>
      <c r="N252" t="s">
        <v>813</v>
      </c>
      <c r="O252" s="576">
        <v>53527</v>
      </c>
      <c r="P252"/>
      <c r="Q252">
        <v>6088399050</v>
      </c>
      <c r="R252">
        <v>6088398950</v>
      </c>
      <c r="S252" t="s">
        <v>2343</v>
      </c>
      <c r="T252" t="s">
        <v>2344</v>
      </c>
      <c r="U252" t="s">
        <v>1201</v>
      </c>
      <c r="V252" t="s">
        <v>2345</v>
      </c>
      <c r="W252" t="s">
        <v>2346</v>
      </c>
      <c r="X252" t="s">
        <v>1057</v>
      </c>
      <c r="Y252" t="s">
        <v>2347</v>
      </c>
      <c r="Z252" t="s">
        <v>2348</v>
      </c>
      <c r="AA252" t="s">
        <v>2349</v>
      </c>
      <c r="AB252">
        <v>6088399050</v>
      </c>
      <c r="AC252">
        <v>1113</v>
      </c>
      <c r="AD252">
        <v>6088398950</v>
      </c>
      <c r="AE252" t="s">
        <v>2350</v>
      </c>
      <c r="AF252" t="s">
        <v>2341</v>
      </c>
      <c r="AG252"/>
      <c r="AH252" t="s">
        <v>2340</v>
      </c>
      <c r="AI252" t="s">
        <v>2342</v>
      </c>
      <c r="AJ252" t="s">
        <v>813</v>
      </c>
      <c r="AK252" s="576">
        <v>53527</v>
      </c>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c r="BR252"/>
      <c r="BS252"/>
      <c r="BT252"/>
      <c r="BU252"/>
      <c r="BV252"/>
      <c r="BW252"/>
      <c r="BX252"/>
      <c r="BY252"/>
      <c r="BZ252"/>
      <c r="CA252"/>
      <c r="CB252"/>
      <c r="CC252"/>
      <c r="CD252"/>
      <c r="CE252"/>
      <c r="CF252" t="s">
        <v>2351</v>
      </c>
      <c r="CG252" t="s">
        <v>2349</v>
      </c>
      <c r="CH252" t="s">
        <v>142</v>
      </c>
      <c r="CI252"/>
      <c r="CJ252"/>
      <c r="CK252"/>
      <c r="CL252"/>
      <c r="CM252">
        <v>1295785079</v>
      </c>
      <c r="CN252">
        <v>425</v>
      </c>
      <c r="CO252">
        <v>157</v>
      </c>
      <c r="CP252"/>
      <c r="CQ252"/>
      <c r="CR252"/>
      <c r="CS252" t="s">
        <v>788</v>
      </c>
      <c r="CT252">
        <v>12</v>
      </c>
      <c r="CU252"/>
      <c r="CV252"/>
      <c r="CW252"/>
      <c r="CX252"/>
      <c r="CY252"/>
      <c r="CZ252"/>
      <c r="DA252"/>
      <c r="DB252"/>
      <c r="DC252"/>
      <c r="DD252"/>
      <c r="DE252"/>
      <c r="DF252"/>
      <c r="DG252"/>
      <c r="DH252"/>
      <c r="DI252"/>
      <c r="DJ252"/>
      <c r="DK252"/>
      <c r="DL252"/>
      <c r="DM252"/>
      <c r="DN252"/>
      <c r="DO252"/>
      <c r="DP252"/>
      <c r="DQ252"/>
      <c r="DR252"/>
      <c r="DS252"/>
      <c r="DT252"/>
      <c r="DU252"/>
      <c r="DV252">
        <v>143</v>
      </c>
      <c r="DW252" t="s">
        <v>1854</v>
      </c>
      <c r="DX252"/>
      <c r="DY252"/>
      <c r="DZ252"/>
      <c r="EA252"/>
      <c r="EB252"/>
      <c r="EC252"/>
      <c r="ED252"/>
      <c r="EE252"/>
      <c r="EF252">
        <v>138</v>
      </c>
      <c r="EG252" t="s">
        <v>1854</v>
      </c>
      <c r="EH252"/>
      <c r="EI252"/>
      <c r="EJ252"/>
      <c r="EK252"/>
      <c r="EL252"/>
      <c r="EM252"/>
      <c r="EN252"/>
      <c r="EO252"/>
      <c r="EP252"/>
      <c r="EQ252"/>
      <c r="ER252">
        <v>75</v>
      </c>
      <c r="ES252"/>
      <c r="ET252"/>
      <c r="EU252"/>
      <c r="EV252" s="439">
        <v>46</v>
      </c>
      <c r="EW252" t="s">
        <v>2935</v>
      </c>
      <c r="EX252" t="s">
        <v>2936</v>
      </c>
      <c r="EY252" t="s">
        <v>2937</v>
      </c>
      <c r="EZ252" t="s">
        <v>54</v>
      </c>
      <c r="FA252">
        <v>56542</v>
      </c>
      <c r="FB252">
        <v>1497850119</v>
      </c>
    </row>
    <row r="253" spans="1:158" x14ac:dyDescent="0.2">
      <c r="A253" s="439">
        <v>1772</v>
      </c>
      <c r="B253" t="s">
        <v>2353</v>
      </c>
      <c r="C253" t="s">
        <v>2340</v>
      </c>
      <c r="D253" t="s">
        <v>2341</v>
      </c>
      <c r="E253"/>
      <c r="F253"/>
      <c r="G253" t="s">
        <v>813</v>
      </c>
      <c r="H253" s="576">
        <v>53527</v>
      </c>
      <c r="I253"/>
      <c r="J253" t="s">
        <v>2341</v>
      </c>
      <c r="K253"/>
      <c r="L253" t="s">
        <v>2340</v>
      </c>
      <c r="M253" t="s">
        <v>2342</v>
      </c>
      <c r="N253" t="s">
        <v>813</v>
      </c>
      <c r="O253" s="576">
        <v>53527</v>
      </c>
      <c r="P253"/>
      <c r="Q253">
        <v>6088399050</v>
      </c>
      <c r="R253">
        <v>6088398950</v>
      </c>
      <c r="S253" t="s">
        <v>2343</v>
      </c>
      <c r="T253" t="s">
        <v>2344</v>
      </c>
      <c r="U253" t="s">
        <v>1201</v>
      </c>
      <c r="V253" t="s">
        <v>2345</v>
      </c>
      <c r="W253" t="s">
        <v>2346</v>
      </c>
      <c r="X253" t="s">
        <v>1057</v>
      </c>
      <c r="Y253" t="s">
        <v>2347</v>
      </c>
      <c r="Z253" t="s">
        <v>2348</v>
      </c>
      <c r="AA253" t="s">
        <v>2349</v>
      </c>
      <c r="AB253">
        <v>6088399050</v>
      </c>
      <c r="AC253">
        <v>1113</v>
      </c>
      <c r="AD253">
        <v>6088398950</v>
      </c>
      <c r="AE253" t="s">
        <v>2350</v>
      </c>
      <c r="AF253" t="s">
        <v>2341</v>
      </c>
      <c r="AG253"/>
      <c r="AH253" t="s">
        <v>2340</v>
      </c>
      <c r="AI253" t="s">
        <v>2342</v>
      </c>
      <c r="AJ253" t="s">
        <v>813</v>
      </c>
      <c r="AK253" s="576">
        <v>53527</v>
      </c>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c r="BR253"/>
      <c r="BS253"/>
      <c r="BT253"/>
      <c r="BU253"/>
      <c r="BV253"/>
      <c r="BW253"/>
      <c r="BX253"/>
      <c r="BY253"/>
      <c r="BZ253"/>
      <c r="CA253"/>
      <c r="CB253"/>
      <c r="CC253"/>
      <c r="CD253"/>
      <c r="CE253"/>
      <c r="CF253" t="s">
        <v>2351</v>
      </c>
      <c r="CG253" t="s">
        <v>2349</v>
      </c>
      <c r="CH253" t="s">
        <v>142</v>
      </c>
      <c r="CI253"/>
      <c r="CJ253"/>
      <c r="CK253"/>
      <c r="CL253"/>
      <c r="CM253">
        <v>1295785079</v>
      </c>
      <c r="CN253">
        <v>425</v>
      </c>
      <c r="CO253">
        <v>157</v>
      </c>
      <c r="CP253"/>
      <c r="CQ253"/>
      <c r="CR253"/>
      <c r="CS253" t="s">
        <v>788</v>
      </c>
      <c r="CT253">
        <v>12</v>
      </c>
      <c r="CU253"/>
      <c r="CV253"/>
      <c r="CW253"/>
      <c r="CX253"/>
      <c r="CY253"/>
      <c r="CZ253"/>
      <c r="DA253"/>
      <c r="DB253"/>
      <c r="DC253"/>
      <c r="DD253"/>
      <c r="DE253"/>
      <c r="DF253"/>
      <c r="DG253"/>
      <c r="DH253"/>
      <c r="DI253"/>
      <c r="DJ253"/>
      <c r="DK253"/>
      <c r="DL253"/>
      <c r="DM253"/>
      <c r="DN253"/>
      <c r="DO253"/>
      <c r="DP253"/>
      <c r="DQ253"/>
      <c r="DR253"/>
      <c r="DS253"/>
      <c r="DT253"/>
      <c r="DU253"/>
      <c r="DV253">
        <v>143</v>
      </c>
      <c r="DW253" t="s">
        <v>1854</v>
      </c>
      <c r="DX253"/>
      <c r="DY253"/>
      <c r="DZ253"/>
      <c r="EA253"/>
      <c r="EB253"/>
      <c r="EC253"/>
      <c r="ED253"/>
      <c r="EE253"/>
      <c r="EF253">
        <v>138</v>
      </c>
      <c r="EG253" t="s">
        <v>1854</v>
      </c>
      <c r="EH253"/>
      <c r="EI253"/>
      <c r="EJ253"/>
      <c r="EK253"/>
      <c r="EL253"/>
      <c r="EM253"/>
      <c r="EN253"/>
      <c r="EO253"/>
      <c r="EP253"/>
      <c r="EQ253"/>
      <c r="ER253">
        <v>75</v>
      </c>
      <c r="ES253"/>
      <c r="ET253"/>
      <c r="EU253"/>
      <c r="EV253" s="439">
        <v>164</v>
      </c>
      <c r="EW253" t="s">
        <v>2938</v>
      </c>
      <c r="EX253" t="s">
        <v>2939</v>
      </c>
      <c r="EY253" t="s">
        <v>2940</v>
      </c>
      <c r="EZ253" t="s">
        <v>54</v>
      </c>
      <c r="FA253">
        <v>55432</v>
      </c>
      <c r="FB253">
        <v>1083672950</v>
      </c>
    </row>
    <row r="254" spans="1:158" x14ac:dyDescent="0.2">
      <c r="A254" s="439">
        <v>1330</v>
      </c>
      <c r="B254" t="s">
        <v>2354</v>
      </c>
      <c r="C254" t="s">
        <v>2340</v>
      </c>
      <c r="D254" t="s">
        <v>2341</v>
      </c>
      <c r="E254"/>
      <c r="F254"/>
      <c r="G254" t="s">
        <v>813</v>
      </c>
      <c r="H254" s="576">
        <v>53527</v>
      </c>
      <c r="I254"/>
      <c r="J254" t="s">
        <v>2341</v>
      </c>
      <c r="K254"/>
      <c r="L254" t="s">
        <v>2340</v>
      </c>
      <c r="M254" t="s">
        <v>2342</v>
      </c>
      <c r="N254" t="s">
        <v>813</v>
      </c>
      <c r="O254" s="576">
        <v>53527</v>
      </c>
      <c r="P254"/>
      <c r="Q254">
        <v>6088399050</v>
      </c>
      <c r="R254">
        <v>6088398950</v>
      </c>
      <c r="S254" t="s">
        <v>2343</v>
      </c>
      <c r="T254" t="s">
        <v>2344</v>
      </c>
      <c r="U254" t="s">
        <v>1201</v>
      </c>
      <c r="V254" t="s">
        <v>2345</v>
      </c>
      <c r="W254" t="s">
        <v>2346</v>
      </c>
      <c r="X254" t="s">
        <v>1057</v>
      </c>
      <c r="Y254" t="s">
        <v>2347</v>
      </c>
      <c r="Z254" t="s">
        <v>2348</v>
      </c>
      <c r="AA254" t="s">
        <v>2349</v>
      </c>
      <c r="AB254">
        <v>6088399050</v>
      </c>
      <c r="AC254">
        <v>1113</v>
      </c>
      <c r="AD254">
        <v>6088398950</v>
      </c>
      <c r="AE254" t="s">
        <v>2350</v>
      </c>
      <c r="AF254" t="s">
        <v>2341</v>
      </c>
      <c r="AG254"/>
      <c r="AH254" t="s">
        <v>2340</v>
      </c>
      <c r="AI254" t="s">
        <v>2342</v>
      </c>
      <c r="AJ254" t="s">
        <v>813</v>
      </c>
      <c r="AK254" s="576">
        <v>53527</v>
      </c>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c r="BR254"/>
      <c r="BS254"/>
      <c r="BT254"/>
      <c r="BU254"/>
      <c r="BV254"/>
      <c r="BW254"/>
      <c r="BX254"/>
      <c r="BY254"/>
      <c r="BZ254"/>
      <c r="CA254"/>
      <c r="CB254"/>
      <c r="CC254"/>
      <c r="CD254"/>
      <c r="CE254"/>
      <c r="CF254" t="s">
        <v>2351</v>
      </c>
      <c r="CG254" t="s">
        <v>2349</v>
      </c>
      <c r="CH254" t="s">
        <v>142</v>
      </c>
      <c r="CI254"/>
      <c r="CJ254"/>
      <c r="CK254"/>
      <c r="CL254"/>
      <c r="CM254">
        <v>1295785079</v>
      </c>
      <c r="CN254">
        <v>425</v>
      </c>
      <c r="CO254">
        <v>157</v>
      </c>
      <c r="CP254"/>
      <c r="CQ254"/>
      <c r="CR254"/>
      <c r="CS254" t="s">
        <v>788</v>
      </c>
      <c r="CT254">
        <v>12</v>
      </c>
      <c r="CU254"/>
      <c r="CV254"/>
      <c r="CW254"/>
      <c r="CX254"/>
      <c r="CY254"/>
      <c r="CZ254"/>
      <c r="DA254"/>
      <c r="DB254"/>
      <c r="DC254"/>
      <c r="DD254"/>
      <c r="DE254"/>
      <c r="DF254"/>
      <c r="DG254"/>
      <c r="DH254"/>
      <c r="DI254"/>
      <c r="DJ254"/>
      <c r="DK254"/>
      <c r="DL254"/>
      <c r="DM254"/>
      <c r="DN254"/>
      <c r="DO254"/>
      <c r="DP254"/>
      <c r="DQ254"/>
      <c r="DR254"/>
      <c r="DS254"/>
      <c r="DT254">
        <v>141</v>
      </c>
      <c r="DU254" t="s">
        <v>1854</v>
      </c>
      <c r="DV254"/>
      <c r="DW254"/>
      <c r="DX254"/>
      <c r="DY254"/>
      <c r="DZ254"/>
      <c r="EA254"/>
      <c r="EB254"/>
      <c r="EC254"/>
      <c r="ED254"/>
      <c r="EE254"/>
      <c r="EF254">
        <v>138</v>
      </c>
      <c r="EG254" t="s">
        <v>1854</v>
      </c>
      <c r="EH254"/>
      <c r="EI254"/>
      <c r="EJ254"/>
      <c r="EK254"/>
      <c r="EL254"/>
      <c r="EM254"/>
      <c r="EN254"/>
      <c r="EO254"/>
      <c r="EP254"/>
      <c r="EQ254"/>
      <c r="ER254">
        <v>75</v>
      </c>
      <c r="ES254"/>
      <c r="ET254"/>
      <c r="EU254"/>
      <c r="EV254" s="439">
        <v>51</v>
      </c>
      <c r="EW254" t="s">
        <v>2941</v>
      </c>
      <c r="EX254" t="s">
        <v>2035</v>
      </c>
      <c r="EY254" t="s">
        <v>2942</v>
      </c>
      <c r="EZ254" t="s">
        <v>54</v>
      </c>
      <c r="FA254">
        <v>55336</v>
      </c>
      <c r="FB254">
        <v>1508885633</v>
      </c>
    </row>
    <row r="255" spans="1:158" x14ac:dyDescent="0.2">
      <c r="A255" s="439">
        <v>1208</v>
      </c>
      <c r="B255" t="s">
        <v>2355</v>
      </c>
      <c r="C255" t="s">
        <v>2340</v>
      </c>
      <c r="D255" t="s">
        <v>2341</v>
      </c>
      <c r="E255"/>
      <c r="F255"/>
      <c r="G255" t="s">
        <v>813</v>
      </c>
      <c r="H255" s="576">
        <v>53527</v>
      </c>
      <c r="I255"/>
      <c r="J255" t="s">
        <v>2341</v>
      </c>
      <c r="K255"/>
      <c r="L255" t="s">
        <v>2340</v>
      </c>
      <c r="M255" t="s">
        <v>2342</v>
      </c>
      <c r="N255" t="s">
        <v>813</v>
      </c>
      <c r="O255" s="576">
        <v>53527</v>
      </c>
      <c r="P255"/>
      <c r="Q255">
        <v>6088399050</v>
      </c>
      <c r="R255">
        <v>6088398950</v>
      </c>
      <c r="S255" t="s">
        <v>2343</v>
      </c>
      <c r="T255" t="s">
        <v>2344</v>
      </c>
      <c r="U255" t="s">
        <v>1201</v>
      </c>
      <c r="V255" t="s">
        <v>2345</v>
      </c>
      <c r="W255" t="s">
        <v>2346</v>
      </c>
      <c r="X255" t="s">
        <v>1057</v>
      </c>
      <c r="Y255" t="s">
        <v>2347</v>
      </c>
      <c r="Z255" t="s">
        <v>2348</v>
      </c>
      <c r="AA255" t="s">
        <v>2349</v>
      </c>
      <c r="AB255">
        <v>6088399050</v>
      </c>
      <c r="AC255">
        <v>1113</v>
      </c>
      <c r="AD255">
        <v>6088398950</v>
      </c>
      <c r="AE255" t="s">
        <v>2350</v>
      </c>
      <c r="AF255" t="s">
        <v>2341</v>
      </c>
      <c r="AG255"/>
      <c r="AH255" t="s">
        <v>2340</v>
      </c>
      <c r="AI255" t="s">
        <v>2342</v>
      </c>
      <c r="AJ255" t="s">
        <v>813</v>
      </c>
      <c r="AK255" s="576">
        <v>53527</v>
      </c>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c r="BR255"/>
      <c r="BS255"/>
      <c r="BT255"/>
      <c r="BU255"/>
      <c r="BV255"/>
      <c r="BW255"/>
      <c r="BX255"/>
      <c r="BY255"/>
      <c r="BZ255"/>
      <c r="CA255"/>
      <c r="CB255"/>
      <c r="CC255"/>
      <c r="CD255"/>
      <c r="CE255"/>
      <c r="CF255" t="s">
        <v>2351</v>
      </c>
      <c r="CG255" t="s">
        <v>2349</v>
      </c>
      <c r="CH255" t="s">
        <v>142</v>
      </c>
      <c r="CI255"/>
      <c r="CJ255"/>
      <c r="CK255"/>
      <c r="CL255"/>
      <c r="CM255">
        <v>1295785079</v>
      </c>
      <c r="CN255">
        <v>425</v>
      </c>
      <c r="CO255">
        <v>157</v>
      </c>
      <c r="CP255"/>
      <c r="CQ255"/>
      <c r="CR255"/>
      <c r="CS255" t="s">
        <v>788</v>
      </c>
      <c r="CT255">
        <v>12</v>
      </c>
      <c r="CU255"/>
      <c r="CV255"/>
      <c r="CW255"/>
      <c r="CX255"/>
      <c r="CY255"/>
      <c r="CZ255"/>
      <c r="DA255"/>
      <c r="DB255"/>
      <c r="DC255"/>
      <c r="DD255"/>
      <c r="DE255"/>
      <c r="DF255"/>
      <c r="DG255"/>
      <c r="DH255"/>
      <c r="DI255"/>
      <c r="DJ255"/>
      <c r="DK255"/>
      <c r="DL255"/>
      <c r="DM255"/>
      <c r="DN255"/>
      <c r="DO255"/>
      <c r="DP255"/>
      <c r="DQ255"/>
      <c r="DR255"/>
      <c r="DS255"/>
      <c r="DT255"/>
      <c r="DU255"/>
      <c r="DV255">
        <v>143</v>
      </c>
      <c r="DW255" t="s">
        <v>1854</v>
      </c>
      <c r="DX255"/>
      <c r="DY255"/>
      <c r="DZ255"/>
      <c r="EA255"/>
      <c r="EB255"/>
      <c r="EC255"/>
      <c r="ED255"/>
      <c r="EE255"/>
      <c r="EF255">
        <v>138</v>
      </c>
      <c r="EG255" t="s">
        <v>1854</v>
      </c>
      <c r="EH255"/>
      <c r="EI255"/>
      <c r="EJ255"/>
      <c r="EK255"/>
      <c r="EL255"/>
      <c r="EM255"/>
      <c r="EN255"/>
      <c r="EO255"/>
      <c r="EP255"/>
      <c r="EQ255"/>
      <c r="ER255">
        <v>75</v>
      </c>
      <c r="ES255"/>
      <c r="ET255"/>
      <c r="EU255"/>
      <c r="EV255" s="439">
        <v>582</v>
      </c>
      <c r="EW255" t="s">
        <v>2034</v>
      </c>
      <c r="EX255" t="s">
        <v>2035</v>
      </c>
      <c r="EY255" t="s">
        <v>2036</v>
      </c>
      <c r="EZ255" t="s">
        <v>54</v>
      </c>
      <c r="FA255">
        <v>55336</v>
      </c>
      <c r="FB255"/>
    </row>
    <row r="256" spans="1:158" x14ac:dyDescent="0.2">
      <c r="A256" s="439">
        <v>1131</v>
      </c>
      <c r="B256" t="s">
        <v>2356</v>
      </c>
      <c r="C256" t="s">
        <v>2340</v>
      </c>
      <c r="D256" t="s">
        <v>2341</v>
      </c>
      <c r="E256"/>
      <c r="F256"/>
      <c r="G256" t="s">
        <v>813</v>
      </c>
      <c r="H256" s="576">
        <v>53527</v>
      </c>
      <c r="I256"/>
      <c r="J256" t="s">
        <v>2341</v>
      </c>
      <c r="K256"/>
      <c r="L256" t="s">
        <v>2340</v>
      </c>
      <c r="M256" t="s">
        <v>2342</v>
      </c>
      <c r="N256" t="s">
        <v>813</v>
      </c>
      <c r="O256" s="576">
        <v>53527</v>
      </c>
      <c r="P256"/>
      <c r="Q256">
        <v>6088399050</v>
      </c>
      <c r="R256">
        <v>6088398950</v>
      </c>
      <c r="S256" t="s">
        <v>2343</v>
      </c>
      <c r="T256" t="s">
        <v>2344</v>
      </c>
      <c r="U256" t="s">
        <v>1201</v>
      </c>
      <c r="V256" t="s">
        <v>2345</v>
      </c>
      <c r="W256" t="s">
        <v>2346</v>
      </c>
      <c r="X256" t="s">
        <v>1057</v>
      </c>
      <c r="Y256" t="s">
        <v>2347</v>
      </c>
      <c r="Z256" t="s">
        <v>2348</v>
      </c>
      <c r="AA256" t="s">
        <v>2349</v>
      </c>
      <c r="AB256">
        <v>6088399050</v>
      </c>
      <c r="AC256">
        <v>1113</v>
      </c>
      <c r="AD256">
        <v>6088398950</v>
      </c>
      <c r="AE256" t="s">
        <v>2350</v>
      </c>
      <c r="AF256" t="s">
        <v>2341</v>
      </c>
      <c r="AG256"/>
      <c r="AH256" t="s">
        <v>2340</v>
      </c>
      <c r="AI256" t="s">
        <v>2342</v>
      </c>
      <c r="AJ256" t="s">
        <v>813</v>
      </c>
      <c r="AK256" s="576">
        <v>53527</v>
      </c>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c r="BR256"/>
      <c r="BS256"/>
      <c r="BT256"/>
      <c r="BU256"/>
      <c r="BV256"/>
      <c r="BW256"/>
      <c r="BX256"/>
      <c r="BY256"/>
      <c r="BZ256"/>
      <c r="CA256"/>
      <c r="CB256"/>
      <c r="CC256"/>
      <c r="CD256"/>
      <c r="CE256"/>
      <c r="CF256" t="s">
        <v>2351</v>
      </c>
      <c r="CG256" t="s">
        <v>2349</v>
      </c>
      <c r="CH256" t="s">
        <v>141</v>
      </c>
      <c r="CI256"/>
      <c r="CJ256"/>
      <c r="CK256"/>
      <c r="CL256"/>
      <c r="CM256">
        <v>1295785079</v>
      </c>
      <c r="CN256">
        <v>425</v>
      </c>
      <c r="CO256">
        <v>157</v>
      </c>
      <c r="CP256"/>
      <c r="CQ256"/>
      <c r="CR256"/>
      <c r="CS256" t="s">
        <v>788</v>
      </c>
      <c r="CT256">
        <v>12</v>
      </c>
      <c r="CU256"/>
      <c r="CV256"/>
      <c r="CW256"/>
      <c r="CX256"/>
      <c r="CY256"/>
      <c r="CZ256"/>
      <c r="DA256"/>
      <c r="DB256"/>
      <c r="DC256"/>
      <c r="DD256"/>
      <c r="DE256"/>
      <c r="DF256"/>
      <c r="DG256"/>
      <c r="DH256"/>
      <c r="DI256"/>
      <c r="DJ256"/>
      <c r="DK256"/>
      <c r="DL256"/>
      <c r="DM256"/>
      <c r="DN256"/>
      <c r="DO256"/>
      <c r="DP256"/>
      <c r="DQ256"/>
      <c r="DR256"/>
      <c r="DS256"/>
      <c r="DT256"/>
      <c r="DU256"/>
      <c r="DV256">
        <v>143</v>
      </c>
      <c r="DW256" t="s">
        <v>2357</v>
      </c>
      <c r="DX256"/>
      <c r="DY256"/>
      <c r="DZ256"/>
      <c r="EA256"/>
      <c r="EB256"/>
      <c r="EC256"/>
      <c r="ED256"/>
      <c r="EE256"/>
      <c r="EF256">
        <v>138</v>
      </c>
      <c r="EG256" t="s">
        <v>2357</v>
      </c>
      <c r="EH256"/>
      <c r="EI256"/>
      <c r="EJ256"/>
      <c r="EK256"/>
      <c r="EL256"/>
      <c r="EM256"/>
      <c r="EN256"/>
      <c r="EO256"/>
      <c r="EP256"/>
      <c r="EQ256"/>
      <c r="ER256">
        <v>75</v>
      </c>
      <c r="ES256"/>
      <c r="ET256"/>
      <c r="EU256"/>
      <c r="EV256" s="439">
        <v>839</v>
      </c>
      <c r="EW256" t="s">
        <v>1284</v>
      </c>
      <c r="EX256" t="s">
        <v>1285</v>
      </c>
      <c r="EY256" t="s">
        <v>1286</v>
      </c>
      <c r="EZ256" t="s">
        <v>54</v>
      </c>
      <c r="FA256">
        <v>56334</v>
      </c>
      <c r="FB256"/>
    </row>
    <row r="257" spans="1:158" x14ac:dyDescent="0.2">
      <c r="A257" s="439">
        <v>1694</v>
      </c>
      <c r="B257" t="s">
        <v>2358</v>
      </c>
      <c r="C257" t="s">
        <v>2340</v>
      </c>
      <c r="D257" t="s">
        <v>2341</v>
      </c>
      <c r="E257"/>
      <c r="F257"/>
      <c r="G257" t="s">
        <v>813</v>
      </c>
      <c r="H257" s="576">
        <v>53527</v>
      </c>
      <c r="I257"/>
      <c r="J257" t="s">
        <v>2341</v>
      </c>
      <c r="K257"/>
      <c r="L257" t="s">
        <v>2340</v>
      </c>
      <c r="M257" t="s">
        <v>2342</v>
      </c>
      <c r="N257" t="s">
        <v>813</v>
      </c>
      <c r="O257" s="576">
        <v>53527</v>
      </c>
      <c r="P257"/>
      <c r="Q257">
        <v>6088399050</v>
      </c>
      <c r="R257">
        <v>6088398950</v>
      </c>
      <c r="S257" t="s">
        <v>2343</v>
      </c>
      <c r="T257" t="s">
        <v>2344</v>
      </c>
      <c r="U257" t="s">
        <v>1201</v>
      </c>
      <c r="V257" t="s">
        <v>2345</v>
      </c>
      <c r="W257" t="s">
        <v>2346</v>
      </c>
      <c r="X257" t="s">
        <v>1057</v>
      </c>
      <c r="Y257" t="s">
        <v>2347</v>
      </c>
      <c r="Z257" t="s">
        <v>2348</v>
      </c>
      <c r="AA257" t="s">
        <v>2349</v>
      </c>
      <c r="AB257">
        <v>6088399050</v>
      </c>
      <c r="AC257">
        <v>1113</v>
      </c>
      <c r="AD257">
        <v>6088398950</v>
      </c>
      <c r="AE257" t="s">
        <v>2350</v>
      </c>
      <c r="AF257" t="s">
        <v>2341</v>
      </c>
      <c r="AG257"/>
      <c r="AH257" t="s">
        <v>2340</v>
      </c>
      <c r="AI257" t="s">
        <v>2342</v>
      </c>
      <c r="AJ257" t="s">
        <v>813</v>
      </c>
      <c r="AK257" s="576">
        <v>53527</v>
      </c>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c r="BR257"/>
      <c r="BS257"/>
      <c r="BT257"/>
      <c r="BU257"/>
      <c r="BV257"/>
      <c r="BW257"/>
      <c r="BX257"/>
      <c r="BY257"/>
      <c r="BZ257"/>
      <c r="CA257"/>
      <c r="CB257"/>
      <c r="CC257"/>
      <c r="CD257"/>
      <c r="CE257"/>
      <c r="CF257" t="s">
        <v>2351</v>
      </c>
      <c r="CG257" t="s">
        <v>2349</v>
      </c>
      <c r="CH257" t="s">
        <v>142</v>
      </c>
      <c r="CI257"/>
      <c r="CJ257"/>
      <c r="CK257"/>
      <c r="CL257"/>
      <c r="CM257">
        <v>1295785079</v>
      </c>
      <c r="CN257">
        <v>425</v>
      </c>
      <c r="CO257">
        <v>157</v>
      </c>
      <c r="CP257"/>
      <c r="CQ257"/>
      <c r="CR257"/>
      <c r="CS257" t="s">
        <v>788</v>
      </c>
      <c r="CT257">
        <v>12</v>
      </c>
      <c r="CU257"/>
      <c r="CV257"/>
      <c r="CW257"/>
      <c r="CX257"/>
      <c r="CY257"/>
      <c r="CZ257"/>
      <c r="DA257"/>
      <c r="DB257"/>
      <c r="DC257"/>
      <c r="DD257"/>
      <c r="DE257"/>
      <c r="DF257"/>
      <c r="DG257"/>
      <c r="DH257"/>
      <c r="DI257"/>
      <c r="DJ257"/>
      <c r="DK257"/>
      <c r="DL257"/>
      <c r="DM257"/>
      <c r="DN257"/>
      <c r="DO257"/>
      <c r="DP257"/>
      <c r="DQ257"/>
      <c r="DR257"/>
      <c r="DS257"/>
      <c r="DT257"/>
      <c r="DU257"/>
      <c r="DV257">
        <v>143</v>
      </c>
      <c r="DW257" t="s">
        <v>1854</v>
      </c>
      <c r="DX257"/>
      <c r="DY257"/>
      <c r="DZ257"/>
      <c r="EA257"/>
      <c r="EB257"/>
      <c r="EC257"/>
      <c r="ED257"/>
      <c r="EE257"/>
      <c r="EF257">
        <v>138</v>
      </c>
      <c r="EG257" t="s">
        <v>1854</v>
      </c>
      <c r="EH257"/>
      <c r="EI257"/>
      <c r="EJ257"/>
      <c r="EK257"/>
      <c r="EL257"/>
      <c r="EM257"/>
      <c r="EN257"/>
      <c r="EO257"/>
      <c r="EP257"/>
      <c r="EQ257"/>
      <c r="ER257">
        <v>75</v>
      </c>
      <c r="ES257"/>
      <c r="ET257"/>
      <c r="EU257"/>
      <c r="EV257" s="439">
        <v>50</v>
      </c>
      <c r="EW257" t="s">
        <v>2943</v>
      </c>
      <c r="EX257" t="s">
        <v>1285</v>
      </c>
      <c r="EY257" t="s">
        <v>2944</v>
      </c>
      <c r="EZ257" t="s">
        <v>54</v>
      </c>
      <c r="FA257">
        <v>56334</v>
      </c>
      <c r="FB257">
        <v>1538178520</v>
      </c>
    </row>
    <row r="258" spans="1:158" x14ac:dyDescent="0.2">
      <c r="A258" s="439">
        <v>988</v>
      </c>
      <c r="B258" t="s">
        <v>2359</v>
      </c>
      <c r="C258" t="s">
        <v>2340</v>
      </c>
      <c r="D258" t="s">
        <v>2341</v>
      </c>
      <c r="E258"/>
      <c r="F258"/>
      <c r="G258" t="s">
        <v>813</v>
      </c>
      <c r="H258" s="576">
        <v>53527</v>
      </c>
      <c r="I258"/>
      <c r="J258" t="s">
        <v>2341</v>
      </c>
      <c r="K258"/>
      <c r="L258" t="s">
        <v>2340</v>
      </c>
      <c r="M258" t="s">
        <v>2342</v>
      </c>
      <c r="N258" t="s">
        <v>813</v>
      </c>
      <c r="O258" s="576">
        <v>53527</v>
      </c>
      <c r="P258"/>
      <c r="Q258">
        <v>6088399050</v>
      </c>
      <c r="R258">
        <v>6088398950</v>
      </c>
      <c r="S258" t="s">
        <v>2343</v>
      </c>
      <c r="T258" t="s">
        <v>2344</v>
      </c>
      <c r="U258" t="s">
        <v>1201</v>
      </c>
      <c r="V258" t="s">
        <v>2345</v>
      </c>
      <c r="W258" t="s">
        <v>2346</v>
      </c>
      <c r="X258" t="s">
        <v>1057</v>
      </c>
      <c r="Y258" t="s">
        <v>2347</v>
      </c>
      <c r="Z258" t="s">
        <v>2348</v>
      </c>
      <c r="AA258" t="s">
        <v>2349</v>
      </c>
      <c r="AB258">
        <v>6088399050</v>
      </c>
      <c r="AC258">
        <v>1113</v>
      </c>
      <c r="AD258">
        <v>6088398950</v>
      </c>
      <c r="AE258" t="s">
        <v>2350</v>
      </c>
      <c r="AF258" t="s">
        <v>2341</v>
      </c>
      <c r="AG258"/>
      <c r="AH258" t="s">
        <v>2340</v>
      </c>
      <c r="AI258" t="s">
        <v>2342</v>
      </c>
      <c r="AJ258" t="s">
        <v>813</v>
      </c>
      <c r="AK258" s="576">
        <v>53527</v>
      </c>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t="s">
        <v>2351</v>
      </c>
      <c r="CG258" t="s">
        <v>2349</v>
      </c>
      <c r="CH258" t="s">
        <v>142</v>
      </c>
      <c r="CI258"/>
      <c r="CJ258"/>
      <c r="CK258"/>
      <c r="CL258"/>
      <c r="CM258">
        <v>1295785079</v>
      </c>
      <c r="CN258">
        <v>425</v>
      </c>
      <c r="CO258">
        <v>157</v>
      </c>
      <c r="CP258"/>
      <c r="CQ258"/>
      <c r="CR258"/>
      <c r="CS258" t="s">
        <v>788</v>
      </c>
      <c r="CT258">
        <v>12</v>
      </c>
      <c r="CU258"/>
      <c r="CV258"/>
      <c r="CW258"/>
      <c r="CX258"/>
      <c r="CY258"/>
      <c r="CZ258"/>
      <c r="DA258"/>
      <c r="DB258"/>
      <c r="DC258"/>
      <c r="DD258"/>
      <c r="DE258"/>
      <c r="DF258"/>
      <c r="DG258"/>
      <c r="DH258"/>
      <c r="DI258"/>
      <c r="DJ258"/>
      <c r="DK258"/>
      <c r="DL258"/>
      <c r="DM258"/>
      <c r="DN258"/>
      <c r="DO258"/>
      <c r="DP258"/>
      <c r="DQ258"/>
      <c r="DR258"/>
      <c r="DS258"/>
      <c r="DT258">
        <v>141</v>
      </c>
      <c r="DU258" t="s">
        <v>1854</v>
      </c>
      <c r="DV258"/>
      <c r="DW258"/>
      <c r="DX258"/>
      <c r="DY258"/>
      <c r="DZ258"/>
      <c r="EA258"/>
      <c r="EB258"/>
      <c r="EC258"/>
      <c r="ED258"/>
      <c r="EE258"/>
      <c r="EF258">
        <v>138</v>
      </c>
      <c r="EG258" t="s">
        <v>1854</v>
      </c>
      <c r="EH258"/>
      <c r="EI258"/>
      <c r="EJ258"/>
      <c r="EK258"/>
      <c r="EL258"/>
      <c r="EM258"/>
      <c r="EN258"/>
      <c r="EO258"/>
      <c r="EP258"/>
      <c r="EQ258"/>
      <c r="ER258">
        <v>75</v>
      </c>
      <c r="ES258"/>
      <c r="ET258"/>
      <c r="EU258"/>
      <c r="EV258" s="439">
        <v>1442</v>
      </c>
      <c r="EW258" t="s">
        <v>1965</v>
      </c>
      <c r="EX258" t="s">
        <v>1705</v>
      </c>
      <c r="EY258" t="s">
        <v>1954</v>
      </c>
      <c r="EZ258" t="s">
        <v>54</v>
      </c>
      <c r="FA258">
        <v>55422</v>
      </c>
      <c r="FB258">
        <v>1992739247</v>
      </c>
    </row>
    <row r="259" spans="1:158" x14ac:dyDescent="0.2">
      <c r="A259" s="439">
        <v>904</v>
      </c>
      <c r="B259" t="s">
        <v>2360</v>
      </c>
      <c r="C259" t="s">
        <v>2340</v>
      </c>
      <c r="D259" t="s">
        <v>2341</v>
      </c>
      <c r="E259"/>
      <c r="F259"/>
      <c r="G259" t="s">
        <v>813</v>
      </c>
      <c r="H259" s="576">
        <v>53527</v>
      </c>
      <c r="I259"/>
      <c r="J259" t="s">
        <v>2341</v>
      </c>
      <c r="K259"/>
      <c r="L259" t="s">
        <v>2340</v>
      </c>
      <c r="M259" t="s">
        <v>2342</v>
      </c>
      <c r="N259" t="s">
        <v>813</v>
      </c>
      <c r="O259" s="576">
        <v>53527</v>
      </c>
      <c r="P259"/>
      <c r="Q259">
        <v>6088399050</v>
      </c>
      <c r="R259">
        <v>6088398950</v>
      </c>
      <c r="S259" t="s">
        <v>2343</v>
      </c>
      <c r="T259" t="s">
        <v>2344</v>
      </c>
      <c r="U259" t="s">
        <v>1201</v>
      </c>
      <c r="V259" t="s">
        <v>2345</v>
      </c>
      <c r="W259" t="s">
        <v>2346</v>
      </c>
      <c r="X259" t="s">
        <v>1057</v>
      </c>
      <c r="Y259" t="s">
        <v>2347</v>
      </c>
      <c r="Z259" t="s">
        <v>2348</v>
      </c>
      <c r="AA259" t="s">
        <v>2349</v>
      </c>
      <c r="AB259">
        <v>6088399050</v>
      </c>
      <c r="AC259">
        <v>1113</v>
      </c>
      <c r="AD259">
        <v>6088398950</v>
      </c>
      <c r="AE259" t="s">
        <v>2350</v>
      </c>
      <c r="AF259" t="s">
        <v>2341</v>
      </c>
      <c r="AG259"/>
      <c r="AH259" t="s">
        <v>2340</v>
      </c>
      <c r="AI259" t="s">
        <v>2342</v>
      </c>
      <c r="AJ259" t="s">
        <v>813</v>
      </c>
      <c r="AK259" s="576">
        <v>53527</v>
      </c>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c r="BR259"/>
      <c r="BS259"/>
      <c r="BT259"/>
      <c r="BU259"/>
      <c r="BV259"/>
      <c r="BW259"/>
      <c r="BX259"/>
      <c r="BY259"/>
      <c r="BZ259"/>
      <c r="CA259"/>
      <c r="CB259"/>
      <c r="CC259"/>
      <c r="CD259"/>
      <c r="CE259"/>
      <c r="CF259" t="s">
        <v>2351</v>
      </c>
      <c r="CG259" t="s">
        <v>2349</v>
      </c>
      <c r="CH259" t="s">
        <v>141</v>
      </c>
      <c r="CI259"/>
      <c r="CJ259"/>
      <c r="CK259"/>
      <c r="CL259"/>
      <c r="CM259">
        <v>1295785079</v>
      </c>
      <c r="CN259">
        <v>425</v>
      </c>
      <c r="CO259">
        <v>157</v>
      </c>
      <c r="CP259"/>
      <c r="CQ259"/>
      <c r="CR259"/>
      <c r="CS259" t="s">
        <v>788</v>
      </c>
      <c r="CT259">
        <v>12</v>
      </c>
      <c r="CU259"/>
      <c r="CV259"/>
      <c r="CW259"/>
      <c r="CX259"/>
      <c r="CY259"/>
      <c r="CZ259"/>
      <c r="DA259"/>
      <c r="DB259"/>
      <c r="DC259"/>
      <c r="DD259"/>
      <c r="DE259"/>
      <c r="DF259"/>
      <c r="DG259"/>
      <c r="DH259"/>
      <c r="DI259"/>
      <c r="DJ259"/>
      <c r="DK259"/>
      <c r="DL259"/>
      <c r="DM259"/>
      <c r="DN259"/>
      <c r="DO259"/>
      <c r="DP259"/>
      <c r="DQ259"/>
      <c r="DR259"/>
      <c r="DS259"/>
      <c r="DT259">
        <v>141</v>
      </c>
      <c r="DU259" t="s">
        <v>2357</v>
      </c>
      <c r="DV259"/>
      <c r="DW259"/>
      <c r="DX259"/>
      <c r="DY259"/>
      <c r="DZ259"/>
      <c r="EA259"/>
      <c r="EB259"/>
      <c r="EC259"/>
      <c r="ED259"/>
      <c r="EE259"/>
      <c r="EF259">
        <v>138</v>
      </c>
      <c r="EG259" t="s">
        <v>2357</v>
      </c>
      <c r="EH259"/>
      <c r="EI259"/>
      <c r="EJ259"/>
      <c r="EK259"/>
      <c r="EL259"/>
      <c r="EM259"/>
      <c r="EN259"/>
      <c r="EO259"/>
      <c r="EP259"/>
      <c r="EQ259"/>
      <c r="ER259">
        <v>75</v>
      </c>
      <c r="ES259"/>
      <c r="ET259"/>
      <c r="EU259"/>
      <c r="EV259" s="439">
        <v>735</v>
      </c>
      <c r="EW259" t="s">
        <v>1966</v>
      </c>
      <c r="EX259" t="s">
        <v>1705</v>
      </c>
      <c r="EY259" t="s">
        <v>1954</v>
      </c>
      <c r="EZ259" t="s">
        <v>54</v>
      </c>
      <c r="FA259">
        <v>55422</v>
      </c>
      <c r="FB259">
        <v>1992739247</v>
      </c>
    </row>
    <row r="260" spans="1:158" x14ac:dyDescent="0.2">
      <c r="A260" s="439">
        <v>1332</v>
      </c>
      <c r="B260" t="s">
        <v>2361</v>
      </c>
      <c r="C260" t="s">
        <v>2340</v>
      </c>
      <c r="D260" t="s">
        <v>2341</v>
      </c>
      <c r="E260"/>
      <c r="F260"/>
      <c r="G260" t="s">
        <v>813</v>
      </c>
      <c r="H260" s="576">
        <v>53527</v>
      </c>
      <c r="I260"/>
      <c r="J260" t="s">
        <v>2341</v>
      </c>
      <c r="K260"/>
      <c r="L260" t="s">
        <v>2340</v>
      </c>
      <c r="M260" t="s">
        <v>2342</v>
      </c>
      <c r="N260" t="s">
        <v>813</v>
      </c>
      <c r="O260" s="576">
        <v>53527</v>
      </c>
      <c r="P260"/>
      <c r="Q260">
        <v>6088399050</v>
      </c>
      <c r="R260">
        <v>6088398950</v>
      </c>
      <c r="S260" t="s">
        <v>2343</v>
      </c>
      <c r="T260" t="s">
        <v>2344</v>
      </c>
      <c r="U260" t="s">
        <v>1201</v>
      </c>
      <c r="V260" t="s">
        <v>2345</v>
      </c>
      <c r="W260" t="s">
        <v>2346</v>
      </c>
      <c r="X260" t="s">
        <v>1057</v>
      </c>
      <c r="Y260" t="s">
        <v>2347</v>
      </c>
      <c r="Z260" t="s">
        <v>2348</v>
      </c>
      <c r="AA260" t="s">
        <v>2349</v>
      </c>
      <c r="AB260">
        <v>6088399050</v>
      </c>
      <c r="AC260">
        <v>1113</v>
      </c>
      <c r="AD260">
        <v>6088398950</v>
      </c>
      <c r="AE260" t="s">
        <v>2350</v>
      </c>
      <c r="AF260" t="s">
        <v>2341</v>
      </c>
      <c r="AG260"/>
      <c r="AH260" t="s">
        <v>2340</v>
      </c>
      <c r="AI260" t="s">
        <v>2342</v>
      </c>
      <c r="AJ260" t="s">
        <v>813</v>
      </c>
      <c r="AK260" s="576">
        <v>53527</v>
      </c>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c r="BR260"/>
      <c r="BS260"/>
      <c r="BT260"/>
      <c r="BU260"/>
      <c r="BV260"/>
      <c r="BW260"/>
      <c r="BX260"/>
      <c r="BY260"/>
      <c r="BZ260"/>
      <c r="CA260"/>
      <c r="CB260"/>
      <c r="CC260"/>
      <c r="CD260"/>
      <c r="CE260"/>
      <c r="CF260" t="s">
        <v>2351</v>
      </c>
      <c r="CG260" t="s">
        <v>2349</v>
      </c>
      <c r="CH260" t="s">
        <v>142</v>
      </c>
      <c r="CI260"/>
      <c r="CJ260"/>
      <c r="CK260"/>
      <c r="CL260"/>
      <c r="CM260">
        <v>1295785079</v>
      </c>
      <c r="CN260">
        <v>425</v>
      </c>
      <c r="CO260">
        <v>157</v>
      </c>
      <c r="CP260"/>
      <c r="CQ260"/>
      <c r="CR260"/>
      <c r="CS260" t="s">
        <v>788</v>
      </c>
      <c r="CT260">
        <v>12</v>
      </c>
      <c r="CU260"/>
      <c r="CV260"/>
      <c r="CW260"/>
      <c r="CX260"/>
      <c r="CY260"/>
      <c r="CZ260"/>
      <c r="DA260"/>
      <c r="DB260"/>
      <c r="DC260"/>
      <c r="DD260"/>
      <c r="DE260"/>
      <c r="DF260"/>
      <c r="DG260"/>
      <c r="DH260"/>
      <c r="DI260"/>
      <c r="DJ260"/>
      <c r="DK260"/>
      <c r="DL260"/>
      <c r="DM260"/>
      <c r="DN260"/>
      <c r="DO260"/>
      <c r="DP260"/>
      <c r="DQ260"/>
      <c r="DR260"/>
      <c r="DS260"/>
      <c r="DT260"/>
      <c r="DU260"/>
      <c r="DV260"/>
      <c r="DW260"/>
      <c r="DX260"/>
      <c r="DY260"/>
      <c r="DZ260"/>
      <c r="EA260"/>
      <c r="EB260"/>
      <c r="EC260"/>
      <c r="ED260"/>
      <c r="EE260"/>
      <c r="EF260">
        <v>138</v>
      </c>
      <c r="EG260" t="s">
        <v>1854</v>
      </c>
      <c r="EH260"/>
      <c r="EI260"/>
      <c r="EJ260"/>
      <c r="EK260"/>
      <c r="EL260"/>
      <c r="EM260"/>
      <c r="EN260"/>
      <c r="EO260"/>
      <c r="EP260"/>
      <c r="EQ260"/>
      <c r="ER260">
        <v>75</v>
      </c>
      <c r="ES260"/>
      <c r="ET260"/>
      <c r="EU260"/>
      <c r="EV260" s="439">
        <v>1045</v>
      </c>
      <c r="EW260" t="s">
        <v>1967</v>
      </c>
      <c r="EX260" t="s">
        <v>1705</v>
      </c>
      <c r="EY260" t="s">
        <v>1954</v>
      </c>
      <c r="EZ260" t="s">
        <v>54</v>
      </c>
      <c r="FA260">
        <v>55422</v>
      </c>
      <c r="FB260">
        <v>1992739247</v>
      </c>
    </row>
    <row r="261" spans="1:158" x14ac:dyDescent="0.2">
      <c r="A261" s="439">
        <v>1333</v>
      </c>
      <c r="B261" t="s">
        <v>2362</v>
      </c>
      <c r="C261" t="s">
        <v>2340</v>
      </c>
      <c r="D261" t="s">
        <v>2341</v>
      </c>
      <c r="E261"/>
      <c r="F261"/>
      <c r="G261" t="s">
        <v>813</v>
      </c>
      <c r="H261" s="576">
        <v>53527</v>
      </c>
      <c r="I261"/>
      <c r="J261" t="s">
        <v>2341</v>
      </c>
      <c r="K261"/>
      <c r="L261" t="s">
        <v>2340</v>
      </c>
      <c r="M261" t="s">
        <v>2342</v>
      </c>
      <c r="N261" t="s">
        <v>813</v>
      </c>
      <c r="O261" s="576">
        <v>53527</v>
      </c>
      <c r="P261"/>
      <c r="Q261">
        <v>6088399050</v>
      </c>
      <c r="R261">
        <v>6088398950</v>
      </c>
      <c r="S261" t="s">
        <v>2343</v>
      </c>
      <c r="T261" t="s">
        <v>2344</v>
      </c>
      <c r="U261" t="s">
        <v>1201</v>
      </c>
      <c r="V261" t="s">
        <v>2345</v>
      </c>
      <c r="W261" t="s">
        <v>2346</v>
      </c>
      <c r="X261" t="s">
        <v>1057</v>
      </c>
      <c r="Y261" t="s">
        <v>2347</v>
      </c>
      <c r="Z261" t="s">
        <v>2348</v>
      </c>
      <c r="AA261" t="s">
        <v>2349</v>
      </c>
      <c r="AB261">
        <v>6088399050</v>
      </c>
      <c r="AC261">
        <v>1113</v>
      </c>
      <c r="AD261">
        <v>6088398950</v>
      </c>
      <c r="AE261" t="s">
        <v>2350</v>
      </c>
      <c r="AF261" t="s">
        <v>2341</v>
      </c>
      <c r="AG261"/>
      <c r="AH261" t="s">
        <v>2340</v>
      </c>
      <c r="AI261" t="s">
        <v>2342</v>
      </c>
      <c r="AJ261" t="s">
        <v>813</v>
      </c>
      <c r="AK261" s="576">
        <v>53527</v>
      </c>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c r="BR261"/>
      <c r="BS261"/>
      <c r="BT261"/>
      <c r="BU261"/>
      <c r="BV261"/>
      <c r="BW261"/>
      <c r="BX261"/>
      <c r="BY261"/>
      <c r="BZ261"/>
      <c r="CA261"/>
      <c r="CB261"/>
      <c r="CC261"/>
      <c r="CD261"/>
      <c r="CE261"/>
      <c r="CF261" t="s">
        <v>2351</v>
      </c>
      <c r="CG261" t="s">
        <v>2349</v>
      </c>
      <c r="CH261" t="s">
        <v>142</v>
      </c>
      <c r="CI261"/>
      <c r="CJ261"/>
      <c r="CK261"/>
      <c r="CL261"/>
      <c r="CM261">
        <v>1295785079</v>
      </c>
      <c r="CN261">
        <v>425</v>
      </c>
      <c r="CO261">
        <v>157</v>
      </c>
      <c r="CP261"/>
      <c r="CQ261"/>
      <c r="CR261"/>
      <c r="CS261" t="s">
        <v>788</v>
      </c>
      <c r="CT261">
        <v>12</v>
      </c>
      <c r="CU261"/>
      <c r="CV261"/>
      <c r="CW261"/>
      <c r="CX261"/>
      <c r="CY261"/>
      <c r="CZ261"/>
      <c r="DA261"/>
      <c r="DB261"/>
      <c r="DC261"/>
      <c r="DD261"/>
      <c r="DE261"/>
      <c r="DF261"/>
      <c r="DG261"/>
      <c r="DH261"/>
      <c r="DI261"/>
      <c r="DJ261"/>
      <c r="DK261"/>
      <c r="DL261"/>
      <c r="DM261"/>
      <c r="DN261"/>
      <c r="DO261"/>
      <c r="DP261"/>
      <c r="DQ261"/>
      <c r="DR261"/>
      <c r="DS261"/>
      <c r="DT261"/>
      <c r="DU261"/>
      <c r="DV261">
        <v>143</v>
      </c>
      <c r="DW261" t="s">
        <v>1854</v>
      </c>
      <c r="DX261"/>
      <c r="DY261"/>
      <c r="DZ261"/>
      <c r="EA261"/>
      <c r="EB261"/>
      <c r="EC261"/>
      <c r="ED261"/>
      <c r="EE261"/>
      <c r="EF261">
        <v>138</v>
      </c>
      <c r="EG261" t="s">
        <v>1854</v>
      </c>
      <c r="EH261"/>
      <c r="EI261"/>
      <c r="EJ261"/>
      <c r="EK261"/>
      <c r="EL261"/>
      <c r="EM261"/>
      <c r="EN261"/>
      <c r="EO261"/>
      <c r="EP261"/>
      <c r="EQ261"/>
      <c r="ER261">
        <v>75</v>
      </c>
      <c r="ES261"/>
      <c r="ET261"/>
      <c r="EU261"/>
      <c r="EV261" s="439">
        <v>1463</v>
      </c>
      <c r="EW261" t="s">
        <v>2231</v>
      </c>
      <c r="EX261" t="s">
        <v>1705</v>
      </c>
      <c r="EY261" t="s">
        <v>1954</v>
      </c>
      <c r="EZ261" t="s">
        <v>54</v>
      </c>
      <c r="FA261">
        <v>55422</v>
      </c>
      <c r="FB261"/>
    </row>
    <row r="262" spans="1:158" x14ac:dyDescent="0.2">
      <c r="A262" s="439">
        <v>1697</v>
      </c>
      <c r="B262" t="s">
        <v>2363</v>
      </c>
      <c r="C262" t="s">
        <v>2340</v>
      </c>
      <c r="D262" t="s">
        <v>2341</v>
      </c>
      <c r="E262"/>
      <c r="F262"/>
      <c r="G262" t="s">
        <v>813</v>
      </c>
      <c r="H262" s="576">
        <v>53527</v>
      </c>
      <c r="I262"/>
      <c r="J262" t="s">
        <v>2341</v>
      </c>
      <c r="K262"/>
      <c r="L262" t="s">
        <v>2340</v>
      </c>
      <c r="M262" t="s">
        <v>2342</v>
      </c>
      <c r="N262" t="s">
        <v>813</v>
      </c>
      <c r="O262" s="576">
        <v>53527</v>
      </c>
      <c r="P262"/>
      <c r="Q262">
        <v>6088399050</v>
      </c>
      <c r="R262">
        <v>6088398950</v>
      </c>
      <c r="S262" t="s">
        <v>2343</v>
      </c>
      <c r="T262" t="s">
        <v>2344</v>
      </c>
      <c r="U262" t="s">
        <v>1201</v>
      </c>
      <c r="V262" t="s">
        <v>2345</v>
      </c>
      <c r="W262" t="s">
        <v>2346</v>
      </c>
      <c r="X262" t="s">
        <v>1057</v>
      </c>
      <c r="Y262" t="s">
        <v>2347</v>
      </c>
      <c r="Z262" t="s">
        <v>2348</v>
      </c>
      <c r="AA262" t="s">
        <v>2349</v>
      </c>
      <c r="AB262">
        <v>6088399050</v>
      </c>
      <c r="AC262">
        <v>1113</v>
      </c>
      <c r="AD262">
        <v>6088398950</v>
      </c>
      <c r="AE262" t="s">
        <v>2350</v>
      </c>
      <c r="AF262" t="s">
        <v>2341</v>
      </c>
      <c r="AG262"/>
      <c r="AH262" t="s">
        <v>2340</v>
      </c>
      <c r="AI262" t="s">
        <v>2342</v>
      </c>
      <c r="AJ262" t="s">
        <v>813</v>
      </c>
      <c r="AK262" s="576">
        <v>53527</v>
      </c>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c r="BR262"/>
      <c r="BS262"/>
      <c r="BT262"/>
      <c r="BU262"/>
      <c r="BV262"/>
      <c r="BW262"/>
      <c r="BX262"/>
      <c r="BY262"/>
      <c r="BZ262"/>
      <c r="CA262"/>
      <c r="CB262"/>
      <c r="CC262"/>
      <c r="CD262"/>
      <c r="CE262"/>
      <c r="CF262" t="s">
        <v>2351</v>
      </c>
      <c r="CG262" t="s">
        <v>2349</v>
      </c>
      <c r="CH262" t="s">
        <v>141</v>
      </c>
      <c r="CI262"/>
      <c r="CJ262"/>
      <c r="CK262"/>
      <c r="CL262"/>
      <c r="CM262">
        <v>1295785079</v>
      </c>
      <c r="CN262">
        <v>425</v>
      </c>
      <c r="CO262">
        <v>157</v>
      </c>
      <c r="CP262"/>
      <c r="CQ262"/>
      <c r="CR262"/>
      <c r="CS262" t="s">
        <v>788</v>
      </c>
      <c r="CT262">
        <v>12</v>
      </c>
      <c r="CU262"/>
      <c r="CV262"/>
      <c r="CW262"/>
      <c r="CX262"/>
      <c r="CY262"/>
      <c r="CZ262"/>
      <c r="DA262"/>
      <c r="DB262"/>
      <c r="DC262"/>
      <c r="DD262"/>
      <c r="DE262"/>
      <c r="DF262"/>
      <c r="DG262"/>
      <c r="DH262"/>
      <c r="DI262"/>
      <c r="DJ262"/>
      <c r="DK262"/>
      <c r="DL262"/>
      <c r="DM262"/>
      <c r="DN262"/>
      <c r="DO262"/>
      <c r="DP262"/>
      <c r="DQ262"/>
      <c r="DR262"/>
      <c r="DS262"/>
      <c r="DT262">
        <v>141</v>
      </c>
      <c r="DU262" t="s">
        <v>1854</v>
      </c>
      <c r="DV262"/>
      <c r="DW262"/>
      <c r="DX262"/>
      <c r="DY262"/>
      <c r="DZ262"/>
      <c r="EA262"/>
      <c r="EB262"/>
      <c r="EC262"/>
      <c r="ED262"/>
      <c r="EE262"/>
      <c r="EF262">
        <v>138</v>
      </c>
      <c r="EG262" t="s">
        <v>1854</v>
      </c>
      <c r="EH262"/>
      <c r="EI262"/>
      <c r="EJ262"/>
      <c r="EK262"/>
      <c r="EL262"/>
      <c r="EM262"/>
      <c r="EN262"/>
      <c r="EO262"/>
      <c r="EP262"/>
      <c r="EQ262"/>
      <c r="ER262">
        <v>75</v>
      </c>
      <c r="ES262"/>
      <c r="ET262"/>
      <c r="EU262"/>
      <c r="EV262" s="439">
        <v>183</v>
      </c>
      <c r="EW262" t="s">
        <v>2945</v>
      </c>
      <c r="EX262" t="s">
        <v>1705</v>
      </c>
      <c r="EY262" t="s">
        <v>2946</v>
      </c>
      <c r="EZ262" t="s">
        <v>54</v>
      </c>
      <c r="FA262">
        <v>55422</v>
      </c>
      <c r="FB262">
        <v>1770585382</v>
      </c>
    </row>
    <row r="263" spans="1:158" x14ac:dyDescent="0.2">
      <c r="A263" s="439">
        <v>1051</v>
      </c>
      <c r="B263" t="s">
        <v>2364</v>
      </c>
      <c r="C263" t="s">
        <v>2340</v>
      </c>
      <c r="D263" t="s">
        <v>2341</v>
      </c>
      <c r="E263"/>
      <c r="F263"/>
      <c r="G263" t="s">
        <v>813</v>
      </c>
      <c r="H263" s="576">
        <v>53527</v>
      </c>
      <c r="I263"/>
      <c r="J263" t="s">
        <v>2341</v>
      </c>
      <c r="K263"/>
      <c r="L263" t="s">
        <v>2340</v>
      </c>
      <c r="M263" t="s">
        <v>2342</v>
      </c>
      <c r="N263" t="s">
        <v>813</v>
      </c>
      <c r="O263" s="576">
        <v>53527</v>
      </c>
      <c r="P263"/>
      <c r="Q263">
        <v>6088399050</v>
      </c>
      <c r="R263">
        <v>6088398950</v>
      </c>
      <c r="S263" t="s">
        <v>2343</v>
      </c>
      <c r="T263" t="s">
        <v>2344</v>
      </c>
      <c r="U263" t="s">
        <v>1201</v>
      </c>
      <c r="V263" t="s">
        <v>2345</v>
      </c>
      <c r="W263" t="s">
        <v>2346</v>
      </c>
      <c r="X263" t="s">
        <v>1057</v>
      </c>
      <c r="Y263" t="s">
        <v>2347</v>
      </c>
      <c r="Z263" t="s">
        <v>2348</v>
      </c>
      <c r="AA263" t="s">
        <v>2349</v>
      </c>
      <c r="AB263">
        <v>6088399050</v>
      </c>
      <c r="AC263">
        <v>1113</v>
      </c>
      <c r="AD263">
        <v>6088398950</v>
      </c>
      <c r="AE263" t="s">
        <v>2350</v>
      </c>
      <c r="AF263" t="s">
        <v>2341</v>
      </c>
      <c r="AG263"/>
      <c r="AH263" t="s">
        <v>2340</v>
      </c>
      <c r="AI263" t="s">
        <v>2342</v>
      </c>
      <c r="AJ263" t="s">
        <v>813</v>
      </c>
      <c r="AK263" s="576">
        <v>53527</v>
      </c>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c r="BR263"/>
      <c r="BS263"/>
      <c r="BT263"/>
      <c r="BU263"/>
      <c r="BV263"/>
      <c r="BW263"/>
      <c r="BX263"/>
      <c r="BY263"/>
      <c r="BZ263"/>
      <c r="CA263"/>
      <c r="CB263"/>
      <c r="CC263"/>
      <c r="CD263"/>
      <c r="CE263"/>
      <c r="CF263" t="s">
        <v>2351</v>
      </c>
      <c r="CG263" t="s">
        <v>2349</v>
      </c>
      <c r="CH263" t="s">
        <v>141</v>
      </c>
      <c r="CI263"/>
      <c r="CJ263"/>
      <c r="CK263"/>
      <c r="CL263"/>
      <c r="CM263">
        <v>1295785079</v>
      </c>
      <c r="CN263">
        <v>425</v>
      </c>
      <c r="CO263">
        <v>157</v>
      </c>
      <c r="CP263"/>
      <c r="CQ263"/>
      <c r="CR263"/>
      <c r="CS263" t="s">
        <v>788</v>
      </c>
      <c r="CT263">
        <v>12</v>
      </c>
      <c r="CU263"/>
      <c r="CV263"/>
      <c r="CW263"/>
      <c r="CX263"/>
      <c r="CY263"/>
      <c r="CZ263"/>
      <c r="DA263"/>
      <c r="DB263"/>
      <c r="DC263"/>
      <c r="DD263"/>
      <c r="DE263"/>
      <c r="DF263"/>
      <c r="DG263"/>
      <c r="DH263"/>
      <c r="DI263"/>
      <c r="DJ263"/>
      <c r="DK263"/>
      <c r="DL263"/>
      <c r="DM263"/>
      <c r="DN263"/>
      <c r="DO263"/>
      <c r="DP263"/>
      <c r="DQ263"/>
      <c r="DR263"/>
      <c r="DS263"/>
      <c r="DT263"/>
      <c r="DU263"/>
      <c r="DV263"/>
      <c r="DW263"/>
      <c r="DX263">
        <v>135</v>
      </c>
      <c r="DY263" t="s">
        <v>2357</v>
      </c>
      <c r="DZ263"/>
      <c r="EA263"/>
      <c r="EB263"/>
      <c r="EC263"/>
      <c r="ED263"/>
      <c r="EE263"/>
      <c r="EF263">
        <v>138</v>
      </c>
      <c r="EG263" t="s">
        <v>2357</v>
      </c>
      <c r="EH263"/>
      <c r="EI263"/>
      <c r="EJ263"/>
      <c r="EK263"/>
      <c r="EL263"/>
      <c r="EM263"/>
      <c r="EN263"/>
      <c r="EO263"/>
      <c r="EP263"/>
      <c r="EQ263"/>
      <c r="ER263">
        <v>75</v>
      </c>
      <c r="ES263"/>
      <c r="ET263"/>
      <c r="EU263"/>
      <c r="EV263" s="439">
        <v>61</v>
      </c>
      <c r="EW263" t="s">
        <v>2947</v>
      </c>
      <c r="EX263" t="s">
        <v>2948</v>
      </c>
      <c r="EY263" t="s">
        <v>2949</v>
      </c>
      <c r="EZ263" t="s">
        <v>54</v>
      </c>
      <c r="FA263">
        <v>56240</v>
      </c>
      <c r="FB263">
        <v>1982673620</v>
      </c>
    </row>
    <row r="264" spans="1:158" x14ac:dyDescent="0.2">
      <c r="A264" s="439">
        <v>1413</v>
      </c>
      <c r="B264" t="s">
        <v>2365</v>
      </c>
      <c r="C264" t="s">
        <v>2340</v>
      </c>
      <c r="D264" t="s">
        <v>2341</v>
      </c>
      <c r="E264"/>
      <c r="F264"/>
      <c r="G264" t="s">
        <v>813</v>
      </c>
      <c r="H264" s="576">
        <v>53527</v>
      </c>
      <c r="I264"/>
      <c r="J264" t="s">
        <v>2341</v>
      </c>
      <c r="K264"/>
      <c r="L264" t="s">
        <v>2340</v>
      </c>
      <c r="M264" t="s">
        <v>2342</v>
      </c>
      <c r="N264" t="s">
        <v>813</v>
      </c>
      <c r="O264" s="576">
        <v>53527</v>
      </c>
      <c r="P264"/>
      <c r="Q264">
        <v>6088399050</v>
      </c>
      <c r="R264">
        <v>6088398950</v>
      </c>
      <c r="S264" t="s">
        <v>2343</v>
      </c>
      <c r="T264" t="s">
        <v>2344</v>
      </c>
      <c r="U264" t="s">
        <v>1201</v>
      </c>
      <c r="V264" t="s">
        <v>2345</v>
      </c>
      <c r="W264" t="s">
        <v>2346</v>
      </c>
      <c r="X264" t="s">
        <v>1057</v>
      </c>
      <c r="Y264" t="s">
        <v>2347</v>
      </c>
      <c r="Z264" t="s">
        <v>2348</v>
      </c>
      <c r="AA264" t="s">
        <v>2349</v>
      </c>
      <c r="AB264">
        <v>6088399050</v>
      </c>
      <c r="AC264">
        <v>1113</v>
      </c>
      <c r="AD264">
        <v>6088398950</v>
      </c>
      <c r="AE264" t="s">
        <v>2350</v>
      </c>
      <c r="AF264" t="s">
        <v>2341</v>
      </c>
      <c r="AG264"/>
      <c r="AH264" t="s">
        <v>2340</v>
      </c>
      <c r="AI264" t="s">
        <v>2342</v>
      </c>
      <c r="AJ264" t="s">
        <v>813</v>
      </c>
      <c r="AK264" s="576">
        <v>53527</v>
      </c>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c r="BR264"/>
      <c r="BS264"/>
      <c r="BT264"/>
      <c r="BU264"/>
      <c r="BV264"/>
      <c r="BW264"/>
      <c r="BX264"/>
      <c r="BY264"/>
      <c r="BZ264"/>
      <c r="CA264"/>
      <c r="CB264"/>
      <c r="CC264"/>
      <c r="CD264"/>
      <c r="CE264"/>
      <c r="CF264" t="s">
        <v>2351</v>
      </c>
      <c r="CG264" t="s">
        <v>2349</v>
      </c>
      <c r="CH264" t="s">
        <v>141</v>
      </c>
      <c r="CI264"/>
      <c r="CJ264"/>
      <c r="CK264"/>
      <c r="CL264"/>
      <c r="CM264">
        <v>1295785079</v>
      </c>
      <c r="CN264">
        <v>425</v>
      </c>
      <c r="CO264">
        <v>157</v>
      </c>
      <c r="CP264"/>
      <c r="CQ264"/>
      <c r="CR264"/>
      <c r="CS264" t="s">
        <v>788</v>
      </c>
      <c r="CT264">
        <v>12</v>
      </c>
      <c r="CU264"/>
      <c r="CV264"/>
      <c r="CW264"/>
      <c r="CX264"/>
      <c r="CY264"/>
      <c r="CZ264"/>
      <c r="DA264"/>
      <c r="DB264"/>
      <c r="DC264"/>
      <c r="DD264"/>
      <c r="DE264"/>
      <c r="DF264"/>
      <c r="DG264"/>
      <c r="DH264"/>
      <c r="DI264"/>
      <c r="DJ264"/>
      <c r="DK264"/>
      <c r="DL264"/>
      <c r="DM264"/>
      <c r="DN264"/>
      <c r="DO264"/>
      <c r="DP264"/>
      <c r="DQ264"/>
      <c r="DR264"/>
      <c r="DS264"/>
      <c r="DT264">
        <v>141</v>
      </c>
      <c r="DU264" t="s">
        <v>2357</v>
      </c>
      <c r="DV264"/>
      <c r="DW264"/>
      <c r="DX264"/>
      <c r="DY264"/>
      <c r="DZ264"/>
      <c r="EA264"/>
      <c r="EB264"/>
      <c r="EC264"/>
      <c r="ED264"/>
      <c r="EE264"/>
      <c r="EF264">
        <v>138</v>
      </c>
      <c r="EG264" t="s">
        <v>2357</v>
      </c>
      <c r="EH264"/>
      <c r="EI264"/>
      <c r="EJ264"/>
      <c r="EK264"/>
      <c r="EL264"/>
      <c r="EM264"/>
      <c r="EN264"/>
      <c r="EO264"/>
      <c r="EP264"/>
      <c r="EQ264"/>
      <c r="ER264">
        <v>75</v>
      </c>
      <c r="ES264"/>
      <c r="ET264"/>
      <c r="EU264"/>
      <c r="EV264" s="439">
        <v>30</v>
      </c>
      <c r="EW264" t="s">
        <v>2950</v>
      </c>
      <c r="EX264" t="s">
        <v>2951</v>
      </c>
      <c r="EY264" t="s">
        <v>2952</v>
      </c>
      <c r="EZ264" t="s">
        <v>54</v>
      </c>
      <c r="FA264">
        <v>55604</v>
      </c>
      <c r="FB264">
        <v>1487712493</v>
      </c>
    </row>
    <row r="265" spans="1:158" x14ac:dyDescent="0.2">
      <c r="A265" s="439">
        <v>1052</v>
      </c>
      <c r="B265" t="s">
        <v>2366</v>
      </c>
      <c r="C265" t="s">
        <v>2340</v>
      </c>
      <c r="D265" t="s">
        <v>2341</v>
      </c>
      <c r="E265"/>
      <c r="F265"/>
      <c r="G265" t="s">
        <v>813</v>
      </c>
      <c r="H265" s="576">
        <v>53527</v>
      </c>
      <c r="I265"/>
      <c r="J265" t="s">
        <v>2341</v>
      </c>
      <c r="K265"/>
      <c r="L265" t="s">
        <v>2340</v>
      </c>
      <c r="M265" t="s">
        <v>2342</v>
      </c>
      <c r="N265" t="s">
        <v>813</v>
      </c>
      <c r="O265" s="576">
        <v>53527</v>
      </c>
      <c r="P265"/>
      <c r="Q265">
        <v>6088399050</v>
      </c>
      <c r="R265">
        <v>6088398950</v>
      </c>
      <c r="S265" t="s">
        <v>2343</v>
      </c>
      <c r="T265" t="s">
        <v>2344</v>
      </c>
      <c r="U265" t="s">
        <v>1201</v>
      </c>
      <c r="V265" t="s">
        <v>2345</v>
      </c>
      <c r="W265" t="s">
        <v>2346</v>
      </c>
      <c r="X265" t="s">
        <v>1057</v>
      </c>
      <c r="Y265" t="s">
        <v>2347</v>
      </c>
      <c r="Z265" t="s">
        <v>2348</v>
      </c>
      <c r="AA265" t="s">
        <v>2349</v>
      </c>
      <c r="AB265">
        <v>6088399050</v>
      </c>
      <c r="AC265">
        <v>1113</v>
      </c>
      <c r="AD265">
        <v>6088398950</v>
      </c>
      <c r="AE265" t="s">
        <v>2350</v>
      </c>
      <c r="AF265" t="s">
        <v>2341</v>
      </c>
      <c r="AG265"/>
      <c r="AH265" t="s">
        <v>2340</v>
      </c>
      <c r="AI265" t="s">
        <v>2342</v>
      </c>
      <c r="AJ265" t="s">
        <v>813</v>
      </c>
      <c r="AK265" s="576">
        <v>53527</v>
      </c>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c r="BR265"/>
      <c r="BS265"/>
      <c r="BT265"/>
      <c r="BU265"/>
      <c r="BV265"/>
      <c r="BW265"/>
      <c r="BX265"/>
      <c r="BY265"/>
      <c r="BZ265"/>
      <c r="CA265"/>
      <c r="CB265"/>
      <c r="CC265"/>
      <c r="CD265"/>
      <c r="CE265"/>
      <c r="CF265" t="s">
        <v>2351</v>
      </c>
      <c r="CG265" t="s">
        <v>2349</v>
      </c>
      <c r="CH265" t="s">
        <v>141</v>
      </c>
      <c r="CI265"/>
      <c r="CJ265"/>
      <c r="CK265"/>
      <c r="CL265"/>
      <c r="CM265">
        <v>1295785079</v>
      </c>
      <c r="CN265">
        <v>425</v>
      </c>
      <c r="CO265">
        <v>157</v>
      </c>
      <c r="CP265"/>
      <c r="CQ265"/>
      <c r="CR265"/>
      <c r="CS265" t="s">
        <v>788</v>
      </c>
      <c r="CT265">
        <v>12</v>
      </c>
      <c r="CU265"/>
      <c r="CV265"/>
      <c r="CW265"/>
      <c r="CX265"/>
      <c r="CY265"/>
      <c r="CZ265"/>
      <c r="DA265"/>
      <c r="DB265"/>
      <c r="DC265"/>
      <c r="DD265"/>
      <c r="DE265"/>
      <c r="DF265"/>
      <c r="DG265"/>
      <c r="DH265"/>
      <c r="DI265"/>
      <c r="DJ265"/>
      <c r="DK265"/>
      <c r="DL265"/>
      <c r="DM265"/>
      <c r="DN265"/>
      <c r="DO265"/>
      <c r="DP265"/>
      <c r="DQ265"/>
      <c r="DR265"/>
      <c r="DS265"/>
      <c r="DT265"/>
      <c r="DU265"/>
      <c r="DV265"/>
      <c r="DW265"/>
      <c r="DX265">
        <v>135</v>
      </c>
      <c r="DY265" t="s">
        <v>2357</v>
      </c>
      <c r="DZ265"/>
      <c r="EA265"/>
      <c r="EB265"/>
      <c r="EC265"/>
      <c r="ED265"/>
      <c r="EE265"/>
      <c r="EF265">
        <v>138</v>
      </c>
      <c r="EG265" t="s">
        <v>2357</v>
      </c>
      <c r="EH265"/>
      <c r="EI265"/>
      <c r="EJ265"/>
      <c r="EK265"/>
      <c r="EL265"/>
      <c r="EM265"/>
      <c r="EN265"/>
      <c r="EO265"/>
      <c r="EP265"/>
      <c r="EQ265"/>
      <c r="ER265">
        <v>75</v>
      </c>
      <c r="ES265"/>
      <c r="ET265"/>
      <c r="EU265"/>
      <c r="EV265" s="439">
        <v>1121</v>
      </c>
      <c r="EW265" t="s">
        <v>1077</v>
      </c>
      <c r="EX265" t="s">
        <v>1078</v>
      </c>
      <c r="EY265" t="s">
        <v>1079</v>
      </c>
      <c r="EZ265" t="s">
        <v>54</v>
      </c>
      <c r="FA265">
        <v>55744</v>
      </c>
      <c r="FB265"/>
    </row>
    <row r="266" spans="1:158" x14ac:dyDescent="0.2">
      <c r="A266" s="439">
        <v>1771</v>
      </c>
      <c r="B266" t="s">
        <v>2367</v>
      </c>
      <c r="C266" t="s">
        <v>2340</v>
      </c>
      <c r="D266" t="s">
        <v>2341</v>
      </c>
      <c r="E266"/>
      <c r="F266"/>
      <c r="G266" t="s">
        <v>813</v>
      </c>
      <c r="H266" s="576">
        <v>53527</v>
      </c>
      <c r="I266"/>
      <c r="J266" t="s">
        <v>2341</v>
      </c>
      <c r="K266"/>
      <c r="L266" t="s">
        <v>2340</v>
      </c>
      <c r="M266" t="s">
        <v>2342</v>
      </c>
      <c r="N266" t="s">
        <v>813</v>
      </c>
      <c r="O266" s="576">
        <v>53527</v>
      </c>
      <c r="P266"/>
      <c r="Q266">
        <v>6088399050</v>
      </c>
      <c r="R266">
        <v>6088398950</v>
      </c>
      <c r="S266" t="s">
        <v>2343</v>
      </c>
      <c r="T266" t="s">
        <v>2344</v>
      </c>
      <c r="U266" t="s">
        <v>1201</v>
      </c>
      <c r="V266" t="s">
        <v>2345</v>
      </c>
      <c r="W266" t="s">
        <v>2346</v>
      </c>
      <c r="X266" t="s">
        <v>1057</v>
      </c>
      <c r="Y266" t="s">
        <v>2347</v>
      </c>
      <c r="Z266" t="s">
        <v>2348</v>
      </c>
      <c r="AA266" t="s">
        <v>2349</v>
      </c>
      <c r="AB266">
        <v>6088399050</v>
      </c>
      <c r="AC266">
        <v>1113</v>
      </c>
      <c r="AD266">
        <v>6088398950</v>
      </c>
      <c r="AE266" t="s">
        <v>2350</v>
      </c>
      <c r="AF266" t="s">
        <v>2341</v>
      </c>
      <c r="AG266"/>
      <c r="AH266" t="s">
        <v>2340</v>
      </c>
      <c r="AI266" t="s">
        <v>2342</v>
      </c>
      <c r="AJ266" t="s">
        <v>813</v>
      </c>
      <c r="AK266" s="576">
        <v>53527</v>
      </c>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c r="BR266"/>
      <c r="BS266"/>
      <c r="BT266"/>
      <c r="BU266"/>
      <c r="BV266"/>
      <c r="BW266"/>
      <c r="BX266"/>
      <c r="BY266"/>
      <c r="BZ266"/>
      <c r="CA266"/>
      <c r="CB266"/>
      <c r="CC266"/>
      <c r="CD266"/>
      <c r="CE266"/>
      <c r="CF266" t="s">
        <v>2351</v>
      </c>
      <c r="CG266" t="s">
        <v>2349</v>
      </c>
      <c r="CH266" t="s">
        <v>141</v>
      </c>
      <c r="CI266"/>
      <c r="CJ266"/>
      <c r="CK266"/>
      <c r="CL266"/>
      <c r="CM266">
        <v>1295785079</v>
      </c>
      <c r="CN266">
        <v>425</v>
      </c>
      <c r="CO266">
        <v>157</v>
      </c>
      <c r="CP266"/>
      <c r="CQ266"/>
      <c r="CR266"/>
      <c r="CS266" t="s">
        <v>788</v>
      </c>
      <c r="CT266">
        <v>12</v>
      </c>
      <c r="CU266"/>
      <c r="CV266"/>
      <c r="CW266"/>
      <c r="CX266"/>
      <c r="CY266"/>
      <c r="CZ266"/>
      <c r="DA266"/>
      <c r="DB266"/>
      <c r="DC266"/>
      <c r="DD266"/>
      <c r="DE266"/>
      <c r="DF266"/>
      <c r="DG266"/>
      <c r="DH266"/>
      <c r="DI266"/>
      <c r="DJ266"/>
      <c r="DK266"/>
      <c r="DL266"/>
      <c r="DM266"/>
      <c r="DN266"/>
      <c r="DO266"/>
      <c r="DP266"/>
      <c r="DQ266"/>
      <c r="DR266"/>
      <c r="DS266"/>
      <c r="DT266"/>
      <c r="DU266"/>
      <c r="DV266"/>
      <c r="DW266"/>
      <c r="DX266">
        <v>135</v>
      </c>
      <c r="DY266" t="s">
        <v>1854</v>
      </c>
      <c r="DZ266"/>
      <c r="EA266"/>
      <c r="EB266"/>
      <c r="EC266"/>
      <c r="ED266"/>
      <c r="EE266"/>
      <c r="EF266"/>
      <c r="EG266"/>
      <c r="EH266"/>
      <c r="EI266"/>
      <c r="EJ266"/>
      <c r="EK266"/>
      <c r="EL266"/>
      <c r="EM266"/>
      <c r="EN266"/>
      <c r="EO266"/>
      <c r="EP266"/>
      <c r="EQ266"/>
      <c r="ER266">
        <v>75</v>
      </c>
      <c r="ES266"/>
      <c r="ET266"/>
      <c r="EU266"/>
      <c r="EV266" s="439">
        <v>1949</v>
      </c>
      <c r="EW266" t="s">
        <v>1575</v>
      </c>
      <c r="EX266" t="s">
        <v>1078</v>
      </c>
      <c r="EY266" t="s">
        <v>1576</v>
      </c>
      <c r="EZ266" t="s">
        <v>54</v>
      </c>
      <c r="FA266">
        <v>55744</v>
      </c>
      <c r="FB266"/>
    </row>
    <row r="267" spans="1:158" x14ac:dyDescent="0.2">
      <c r="A267" s="439">
        <v>1695</v>
      </c>
      <c r="B267" t="s">
        <v>2368</v>
      </c>
      <c r="C267" t="s">
        <v>2340</v>
      </c>
      <c r="D267" t="s">
        <v>2341</v>
      </c>
      <c r="E267"/>
      <c r="F267"/>
      <c r="G267" t="s">
        <v>813</v>
      </c>
      <c r="H267" s="576">
        <v>53527</v>
      </c>
      <c r="I267"/>
      <c r="J267" t="s">
        <v>2341</v>
      </c>
      <c r="K267"/>
      <c r="L267" t="s">
        <v>2340</v>
      </c>
      <c r="M267" t="s">
        <v>2342</v>
      </c>
      <c r="N267" t="s">
        <v>813</v>
      </c>
      <c r="O267" s="576">
        <v>53527</v>
      </c>
      <c r="P267"/>
      <c r="Q267">
        <v>6088399050</v>
      </c>
      <c r="R267">
        <v>6088398950</v>
      </c>
      <c r="S267" t="s">
        <v>2343</v>
      </c>
      <c r="T267" t="s">
        <v>2344</v>
      </c>
      <c r="U267" t="s">
        <v>1201</v>
      </c>
      <c r="V267" t="s">
        <v>2345</v>
      </c>
      <c r="W267" t="s">
        <v>2346</v>
      </c>
      <c r="X267" t="s">
        <v>1057</v>
      </c>
      <c r="Y267" t="s">
        <v>2347</v>
      </c>
      <c r="Z267" t="s">
        <v>2348</v>
      </c>
      <c r="AA267" t="s">
        <v>2349</v>
      </c>
      <c r="AB267">
        <v>6088399050</v>
      </c>
      <c r="AC267">
        <v>1113</v>
      </c>
      <c r="AD267">
        <v>6088398950</v>
      </c>
      <c r="AE267" t="s">
        <v>2350</v>
      </c>
      <c r="AF267" t="s">
        <v>2341</v>
      </c>
      <c r="AG267"/>
      <c r="AH267" t="s">
        <v>2340</v>
      </c>
      <c r="AI267" t="s">
        <v>2342</v>
      </c>
      <c r="AJ267" t="s">
        <v>813</v>
      </c>
      <c r="AK267" s="576">
        <v>53527</v>
      </c>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c r="BR267"/>
      <c r="BS267"/>
      <c r="BT267"/>
      <c r="BU267"/>
      <c r="BV267"/>
      <c r="BW267"/>
      <c r="BX267"/>
      <c r="BY267"/>
      <c r="BZ267"/>
      <c r="CA267"/>
      <c r="CB267"/>
      <c r="CC267"/>
      <c r="CD267"/>
      <c r="CE267"/>
      <c r="CF267" t="s">
        <v>2351</v>
      </c>
      <c r="CG267" t="s">
        <v>2349</v>
      </c>
      <c r="CH267" t="s">
        <v>141</v>
      </c>
      <c r="CI267"/>
      <c r="CJ267"/>
      <c r="CK267"/>
      <c r="CL267"/>
      <c r="CM267">
        <v>1295785079</v>
      </c>
      <c r="CN267">
        <v>425</v>
      </c>
      <c r="CO267">
        <v>157</v>
      </c>
      <c r="CP267"/>
      <c r="CQ267"/>
      <c r="CR267"/>
      <c r="CS267" t="s">
        <v>788</v>
      </c>
      <c r="CT267">
        <v>12</v>
      </c>
      <c r="CU267"/>
      <c r="CV267"/>
      <c r="CW267"/>
      <c r="CX267"/>
      <c r="CY267"/>
      <c r="CZ267"/>
      <c r="DA267"/>
      <c r="DB267"/>
      <c r="DC267"/>
      <c r="DD267"/>
      <c r="DE267"/>
      <c r="DF267"/>
      <c r="DG267"/>
      <c r="DH267"/>
      <c r="DI267"/>
      <c r="DJ267"/>
      <c r="DK267"/>
      <c r="DL267"/>
      <c r="DM267"/>
      <c r="DN267"/>
      <c r="DO267"/>
      <c r="DP267"/>
      <c r="DQ267"/>
      <c r="DR267"/>
      <c r="DS267"/>
      <c r="DT267"/>
      <c r="DU267"/>
      <c r="DV267"/>
      <c r="DW267"/>
      <c r="DX267">
        <v>135</v>
      </c>
      <c r="DY267" t="s">
        <v>1854</v>
      </c>
      <c r="DZ267"/>
      <c r="EA267"/>
      <c r="EB267"/>
      <c r="EC267"/>
      <c r="ED267"/>
      <c r="EE267"/>
      <c r="EF267"/>
      <c r="EG267"/>
      <c r="EH267"/>
      <c r="EI267"/>
      <c r="EJ267"/>
      <c r="EK267"/>
      <c r="EL267"/>
      <c r="EM267"/>
      <c r="EN267"/>
      <c r="EO267"/>
      <c r="EP267"/>
      <c r="EQ267"/>
      <c r="ER267">
        <v>75</v>
      </c>
      <c r="ES267"/>
      <c r="ET267"/>
      <c r="EU267"/>
      <c r="EV267" s="439">
        <v>64</v>
      </c>
      <c r="EW267" t="s">
        <v>2953</v>
      </c>
      <c r="EX267" t="s">
        <v>1078</v>
      </c>
      <c r="EY267" t="s">
        <v>1079</v>
      </c>
      <c r="EZ267" t="s">
        <v>54</v>
      </c>
      <c r="FA267">
        <v>55744</v>
      </c>
      <c r="FB267">
        <v>1669426631</v>
      </c>
    </row>
    <row r="268" spans="1:158" x14ac:dyDescent="0.2">
      <c r="A268" s="439">
        <v>1440</v>
      </c>
      <c r="B268" t="s">
        <v>2369</v>
      </c>
      <c r="C268" t="s">
        <v>2340</v>
      </c>
      <c r="D268" t="s">
        <v>2341</v>
      </c>
      <c r="E268"/>
      <c r="F268"/>
      <c r="G268" t="s">
        <v>813</v>
      </c>
      <c r="H268" s="576">
        <v>53527</v>
      </c>
      <c r="I268"/>
      <c r="J268" t="s">
        <v>2341</v>
      </c>
      <c r="K268"/>
      <c r="L268" t="s">
        <v>2340</v>
      </c>
      <c r="M268" t="s">
        <v>2342</v>
      </c>
      <c r="N268" t="s">
        <v>813</v>
      </c>
      <c r="O268" s="576">
        <v>53527</v>
      </c>
      <c r="P268"/>
      <c r="Q268">
        <v>6088399050</v>
      </c>
      <c r="R268">
        <v>6088398950</v>
      </c>
      <c r="S268" t="s">
        <v>2343</v>
      </c>
      <c r="T268" t="s">
        <v>2344</v>
      </c>
      <c r="U268" t="s">
        <v>1201</v>
      </c>
      <c r="V268" t="s">
        <v>2345</v>
      </c>
      <c r="W268" t="s">
        <v>2346</v>
      </c>
      <c r="X268" t="s">
        <v>1057</v>
      </c>
      <c r="Y268" t="s">
        <v>2347</v>
      </c>
      <c r="Z268" t="s">
        <v>2348</v>
      </c>
      <c r="AA268" t="s">
        <v>2349</v>
      </c>
      <c r="AB268">
        <v>6088399050</v>
      </c>
      <c r="AC268">
        <v>1113</v>
      </c>
      <c r="AD268">
        <v>6088398950</v>
      </c>
      <c r="AE268" t="s">
        <v>2350</v>
      </c>
      <c r="AF268" t="s">
        <v>2341</v>
      </c>
      <c r="AG268"/>
      <c r="AH268" t="s">
        <v>2340</v>
      </c>
      <c r="AI268" t="s">
        <v>2342</v>
      </c>
      <c r="AJ268" t="s">
        <v>813</v>
      </c>
      <c r="AK268" s="576">
        <v>53527</v>
      </c>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c r="BR268"/>
      <c r="BS268"/>
      <c r="BT268"/>
      <c r="BU268"/>
      <c r="BV268"/>
      <c r="BW268"/>
      <c r="BX268"/>
      <c r="BY268"/>
      <c r="BZ268"/>
      <c r="CA268"/>
      <c r="CB268"/>
      <c r="CC268"/>
      <c r="CD268"/>
      <c r="CE268"/>
      <c r="CF268" t="s">
        <v>2351</v>
      </c>
      <c r="CG268" t="s">
        <v>2349</v>
      </c>
      <c r="CH268" t="s">
        <v>141</v>
      </c>
      <c r="CI268"/>
      <c r="CJ268"/>
      <c r="CK268"/>
      <c r="CL268"/>
      <c r="CM268">
        <v>1295785079</v>
      </c>
      <c r="CN268">
        <v>425</v>
      </c>
      <c r="CO268">
        <v>157</v>
      </c>
      <c r="CP268"/>
      <c r="CQ268"/>
      <c r="CR268"/>
      <c r="CS268" t="s">
        <v>788</v>
      </c>
      <c r="CT268">
        <v>12</v>
      </c>
      <c r="CU268"/>
      <c r="CV268"/>
      <c r="CW268"/>
      <c r="CX268"/>
      <c r="CY268"/>
      <c r="CZ268"/>
      <c r="DA268"/>
      <c r="DB268"/>
      <c r="DC268"/>
      <c r="DD268"/>
      <c r="DE268"/>
      <c r="DF268"/>
      <c r="DG268"/>
      <c r="DH268"/>
      <c r="DI268"/>
      <c r="DJ268"/>
      <c r="DK268"/>
      <c r="DL268"/>
      <c r="DM268"/>
      <c r="DN268"/>
      <c r="DO268"/>
      <c r="DP268"/>
      <c r="DQ268"/>
      <c r="DR268"/>
      <c r="DS268"/>
      <c r="DT268"/>
      <c r="DU268"/>
      <c r="DV268"/>
      <c r="DW268"/>
      <c r="DX268">
        <v>135</v>
      </c>
      <c r="DY268" t="s">
        <v>2357</v>
      </c>
      <c r="DZ268"/>
      <c r="EA268"/>
      <c r="EB268"/>
      <c r="EC268"/>
      <c r="ED268"/>
      <c r="EE268"/>
      <c r="EF268">
        <v>138</v>
      </c>
      <c r="EG268" t="s">
        <v>2357</v>
      </c>
      <c r="EH268"/>
      <c r="EI268"/>
      <c r="EJ268"/>
      <c r="EK268"/>
      <c r="EL268"/>
      <c r="EM268"/>
      <c r="EN268"/>
      <c r="EO268"/>
      <c r="EP268"/>
      <c r="EQ268"/>
      <c r="ER268">
        <v>75</v>
      </c>
      <c r="ES268"/>
      <c r="ET268"/>
      <c r="EU268"/>
      <c r="EV268" s="439">
        <v>353</v>
      </c>
      <c r="EW268" t="s">
        <v>2954</v>
      </c>
      <c r="EX268" t="s">
        <v>1078</v>
      </c>
      <c r="EY268" t="s">
        <v>1576</v>
      </c>
      <c r="EZ268" t="s">
        <v>54</v>
      </c>
      <c r="FA268">
        <v>55744</v>
      </c>
      <c r="FB268">
        <v>1265487474</v>
      </c>
    </row>
    <row r="269" spans="1:158" x14ac:dyDescent="0.2">
      <c r="A269" s="439">
        <v>1696</v>
      </c>
      <c r="B269" t="s">
        <v>2370</v>
      </c>
      <c r="C269" t="s">
        <v>2340</v>
      </c>
      <c r="D269" t="s">
        <v>2341</v>
      </c>
      <c r="E269"/>
      <c r="F269"/>
      <c r="G269" t="s">
        <v>813</v>
      </c>
      <c r="H269" s="576">
        <v>53527</v>
      </c>
      <c r="I269"/>
      <c r="J269" t="s">
        <v>2341</v>
      </c>
      <c r="K269"/>
      <c r="L269" t="s">
        <v>2340</v>
      </c>
      <c r="M269" t="s">
        <v>2342</v>
      </c>
      <c r="N269" t="s">
        <v>813</v>
      </c>
      <c r="O269" s="576">
        <v>53527</v>
      </c>
      <c r="P269"/>
      <c r="Q269">
        <v>6088399050</v>
      </c>
      <c r="R269">
        <v>6088398950</v>
      </c>
      <c r="S269" t="s">
        <v>2343</v>
      </c>
      <c r="T269" t="s">
        <v>2344</v>
      </c>
      <c r="U269" t="s">
        <v>1201</v>
      </c>
      <c r="V269" t="s">
        <v>2345</v>
      </c>
      <c r="W269" t="s">
        <v>2346</v>
      </c>
      <c r="X269" t="s">
        <v>1057</v>
      </c>
      <c r="Y269" t="s">
        <v>2347</v>
      </c>
      <c r="Z269" t="s">
        <v>2348</v>
      </c>
      <c r="AA269" t="s">
        <v>2349</v>
      </c>
      <c r="AB269">
        <v>6088399050</v>
      </c>
      <c r="AC269">
        <v>1113</v>
      </c>
      <c r="AD269">
        <v>6088398950</v>
      </c>
      <c r="AE269" t="s">
        <v>2350</v>
      </c>
      <c r="AF269" t="s">
        <v>2341</v>
      </c>
      <c r="AG269"/>
      <c r="AH269" t="s">
        <v>2340</v>
      </c>
      <c r="AI269" t="s">
        <v>2342</v>
      </c>
      <c r="AJ269" t="s">
        <v>813</v>
      </c>
      <c r="AK269" s="576">
        <v>53527</v>
      </c>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c r="BR269"/>
      <c r="BS269"/>
      <c r="BT269"/>
      <c r="BU269"/>
      <c r="BV269"/>
      <c r="BW269"/>
      <c r="BX269"/>
      <c r="BY269"/>
      <c r="BZ269"/>
      <c r="CA269"/>
      <c r="CB269"/>
      <c r="CC269"/>
      <c r="CD269"/>
      <c r="CE269"/>
      <c r="CF269" t="s">
        <v>2351</v>
      </c>
      <c r="CG269" t="s">
        <v>2349</v>
      </c>
      <c r="CH269" t="s">
        <v>142</v>
      </c>
      <c r="CI269"/>
      <c r="CJ269"/>
      <c r="CK269"/>
      <c r="CL269"/>
      <c r="CM269">
        <v>1295785079</v>
      </c>
      <c r="CN269">
        <v>425</v>
      </c>
      <c r="CO269">
        <v>157</v>
      </c>
      <c r="CP269"/>
      <c r="CQ269"/>
      <c r="CR269"/>
      <c r="CS269" t="s">
        <v>788</v>
      </c>
      <c r="CT269">
        <v>12</v>
      </c>
      <c r="CU269"/>
      <c r="CV269"/>
      <c r="CW269"/>
      <c r="CX269"/>
      <c r="CY269"/>
      <c r="CZ269"/>
      <c r="DA269"/>
      <c r="DB269"/>
      <c r="DC269"/>
      <c r="DD269"/>
      <c r="DE269"/>
      <c r="DF269"/>
      <c r="DG269"/>
      <c r="DH269"/>
      <c r="DI269"/>
      <c r="DJ269"/>
      <c r="DK269"/>
      <c r="DL269"/>
      <c r="DM269"/>
      <c r="DN269"/>
      <c r="DO269"/>
      <c r="DP269"/>
      <c r="DQ269"/>
      <c r="DR269"/>
      <c r="DS269"/>
      <c r="DT269"/>
      <c r="DU269"/>
      <c r="DV269"/>
      <c r="DW269"/>
      <c r="DX269">
        <v>135</v>
      </c>
      <c r="DY269" t="s">
        <v>1854</v>
      </c>
      <c r="DZ269"/>
      <c r="EA269"/>
      <c r="EB269"/>
      <c r="EC269"/>
      <c r="ED269"/>
      <c r="EE269"/>
      <c r="EF269">
        <v>138</v>
      </c>
      <c r="EG269" t="s">
        <v>1854</v>
      </c>
      <c r="EH269"/>
      <c r="EI269"/>
      <c r="EJ269"/>
      <c r="EK269"/>
      <c r="EL269"/>
      <c r="EM269"/>
      <c r="EN269"/>
      <c r="EO269"/>
      <c r="EP269"/>
      <c r="EQ269"/>
      <c r="ER269">
        <v>75</v>
      </c>
      <c r="ES269"/>
      <c r="ET269"/>
      <c r="EU269"/>
      <c r="EV269" s="439">
        <v>53</v>
      </c>
      <c r="EW269" t="s">
        <v>2955</v>
      </c>
      <c r="EX269" t="s">
        <v>1218</v>
      </c>
      <c r="EY269" t="s">
        <v>2956</v>
      </c>
      <c r="EZ269" t="s">
        <v>54</v>
      </c>
      <c r="FA269">
        <v>56241</v>
      </c>
      <c r="FB269">
        <v>1780654962</v>
      </c>
    </row>
    <row r="270" spans="1:158" x14ac:dyDescent="0.2">
      <c r="A270" s="439">
        <v>1840</v>
      </c>
      <c r="B270" t="s">
        <v>2371</v>
      </c>
      <c r="C270" t="s">
        <v>2340</v>
      </c>
      <c r="D270" t="s">
        <v>2341</v>
      </c>
      <c r="E270"/>
      <c r="F270"/>
      <c r="G270" t="s">
        <v>813</v>
      </c>
      <c r="H270" s="576">
        <v>53527</v>
      </c>
      <c r="I270"/>
      <c r="J270" t="s">
        <v>2341</v>
      </c>
      <c r="K270"/>
      <c r="L270" t="s">
        <v>2340</v>
      </c>
      <c r="M270" t="s">
        <v>2342</v>
      </c>
      <c r="N270" t="s">
        <v>813</v>
      </c>
      <c r="O270" s="576">
        <v>53527</v>
      </c>
      <c r="P270"/>
      <c r="Q270">
        <v>6088399050</v>
      </c>
      <c r="R270">
        <v>6088398950</v>
      </c>
      <c r="S270" t="s">
        <v>2343</v>
      </c>
      <c r="T270" t="s">
        <v>2344</v>
      </c>
      <c r="U270" t="s">
        <v>1201</v>
      </c>
      <c r="V270" t="s">
        <v>2345</v>
      </c>
      <c r="W270" t="s">
        <v>2346</v>
      </c>
      <c r="X270" t="s">
        <v>1057</v>
      </c>
      <c r="Y270" t="s">
        <v>2347</v>
      </c>
      <c r="Z270" t="s">
        <v>2348</v>
      </c>
      <c r="AA270" t="s">
        <v>2349</v>
      </c>
      <c r="AB270">
        <v>6088399050</v>
      </c>
      <c r="AC270">
        <v>1113</v>
      </c>
      <c r="AD270">
        <v>6088398950</v>
      </c>
      <c r="AE270" t="s">
        <v>2350</v>
      </c>
      <c r="AF270" t="s">
        <v>2341</v>
      </c>
      <c r="AG270"/>
      <c r="AH270" t="s">
        <v>2340</v>
      </c>
      <c r="AI270" t="s">
        <v>2342</v>
      </c>
      <c r="AJ270" t="s">
        <v>813</v>
      </c>
      <c r="AK270" s="576">
        <v>53527</v>
      </c>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c r="BR270"/>
      <c r="BS270"/>
      <c r="BT270"/>
      <c r="BU270"/>
      <c r="BV270"/>
      <c r="BW270"/>
      <c r="BX270"/>
      <c r="BY270"/>
      <c r="BZ270"/>
      <c r="CA270"/>
      <c r="CB270"/>
      <c r="CC270"/>
      <c r="CD270"/>
      <c r="CE270"/>
      <c r="CF270" t="s">
        <v>2351</v>
      </c>
      <c r="CG270" t="s">
        <v>2349</v>
      </c>
      <c r="CH270" t="s">
        <v>141</v>
      </c>
      <c r="CI270"/>
      <c r="CJ270"/>
      <c r="CK270"/>
      <c r="CL270"/>
      <c r="CM270">
        <v>1295785079</v>
      </c>
      <c r="CN270">
        <v>425</v>
      </c>
      <c r="CO270">
        <v>157</v>
      </c>
      <c r="CP270"/>
      <c r="CQ270"/>
      <c r="CR270"/>
      <c r="CS270" t="s">
        <v>788</v>
      </c>
      <c r="CT270">
        <v>12</v>
      </c>
      <c r="CU270"/>
      <c r="CV270"/>
      <c r="CW270"/>
      <c r="CX270"/>
      <c r="CY270"/>
      <c r="CZ270"/>
      <c r="DA270"/>
      <c r="DB270"/>
      <c r="DC270"/>
      <c r="DD270"/>
      <c r="DE270"/>
      <c r="DF270"/>
      <c r="DG270"/>
      <c r="DH270"/>
      <c r="DI270"/>
      <c r="DJ270"/>
      <c r="DK270"/>
      <c r="DL270"/>
      <c r="DM270"/>
      <c r="DN270"/>
      <c r="DO270"/>
      <c r="DP270"/>
      <c r="DQ270"/>
      <c r="DR270"/>
      <c r="DS270"/>
      <c r="DT270">
        <v>141</v>
      </c>
      <c r="DU270" t="s">
        <v>2357</v>
      </c>
      <c r="DV270"/>
      <c r="DW270"/>
      <c r="DX270"/>
      <c r="DY270"/>
      <c r="DZ270"/>
      <c r="EA270"/>
      <c r="EB270"/>
      <c r="EC270"/>
      <c r="ED270"/>
      <c r="EE270"/>
      <c r="EF270">
        <v>138</v>
      </c>
      <c r="EG270" t="s">
        <v>2357</v>
      </c>
      <c r="EH270"/>
      <c r="EI270"/>
      <c r="EJ270"/>
      <c r="EK270"/>
      <c r="EL270"/>
      <c r="EM270"/>
      <c r="EN270"/>
      <c r="EO270"/>
      <c r="EP270"/>
      <c r="EQ270"/>
      <c r="ER270">
        <v>75</v>
      </c>
      <c r="ES270"/>
      <c r="ET270"/>
      <c r="EU270"/>
      <c r="EV270" s="439">
        <v>1204</v>
      </c>
      <c r="EW270" t="s">
        <v>1217</v>
      </c>
      <c r="EX270" t="s">
        <v>1218</v>
      </c>
      <c r="EY270" t="s">
        <v>1219</v>
      </c>
      <c r="EZ270" t="s">
        <v>54</v>
      </c>
      <c r="FA270">
        <v>56241</v>
      </c>
      <c r="FB270"/>
    </row>
    <row r="271" spans="1:158" x14ac:dyDescent="0.2">
      <c r="A271" s="439">
        <v>618</v>
      </c>
      <c r="B271" t="s">
        <v>2372</v>
      </c>
      <c r="C271" t="s">
        <v>2340</v>
      </c>
      <c r="D271" t="s">
        <v>2341</v>
      </c>
      <c r="E271"/>
      <c r="F271"/>
      <c r="G271" t="s">
        <v>813</v>
      </c>
      <c r="H271" s="576">
        <v>53527</v>
      </c>
      <c r="I271"/>
      <c r="J271" t="s">
        <v>2341</v>
      </c>
      <c r="K271"/>
      <c r="L271" t="s">
        <v>2340</v>
      </c>
      <c r="M271" t="s">
        <v>2342</v>
      </c>
      <c r="N271" t="s">
        <v>813</v>
      </c>
      <c r="O271" s="576">
        <v>53527</v>
      </c>
      <c r="P271"/>
      <c r="Q271">
        <v>6088399050</v>
      </c>
      <c r="R271">
        <v>6088398950</v>
      </c>
      <c r="S271" t="s">
        <v>2343</v>
      </c>
      <c r="T271" t="s">
        <v>2344</v>
      </c>
      <c r="U271" t="s">
        <v>1201</v>
      </c>
      <c r="V271" t="s">
        <v>2345</v>
      </c>
      <c r="W271" t="s">
        <v>2346</v>
      </c>
      <c r="X271" t="s">
        <v>1057</v>
      </c>
      <c r="Y271" t="s">
        <v>2347</v>
      </c>
      <c r="Z271" t="s">
        <v>2348</v>
      </c>
      <c r="AA271" t="s">
        <v>2349</v>
      </c>
      <c r="AB271">
        <v>6088399050</v>
      </c>
      <c r="AC271">
        <v>1113</v>
      </c>
      <c r="AD271">
        <v>6088398950</v>
      </c>
      <c r="AE271" t="s">
        <v>2350</v>
      </c>
      <c r="AF271" t="s">
        <v>2341</v>
      </c>
      <c r="AG271"/>
      <c r="AH271" t="s">
        <v>2340</v>
      </c>
      <c r="AI271" t="s">
        <v>2342</v>
      </c>
      <c r="AJ271" t="s">
        <v>813</v>
      </c>
      <c r="AK271" s="576">
        <v>53527</v>
      </c>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c r="BR271"/>
      <c r="BS271"/>
      <c r="BT271"/>
      <c r="BU271"/>
      <c r="BV271"/>
      <c r="BW271"/>
      <c r="BX271"/>
      <c r="BY271"/>
      <c r="BZ271"/>
      <c r="CA271"/>
      <c r="CB271"/>
      <c r="CC271"/>
      <c r="CD271"/>
      <c r="CE271"/>
      <c r="CF271" t="s">
        <v>2351</v>
      </c>
      <c r="CG271" t="s">
        <v>2349</v>
      </c>
      <c r="CH271" t="s">
        <v>141</v>
      </c>
      <c r="CI271"/>
      <c r="CJ271"/>
      <c r="CK271"/>
      <c r="CL271"/>
      <c r="CM271">
        <v>1295785079</v>
      </c>
      <c r="CN271">
        <v>425</v>
      </c>
      <c r="CO271">
        <v>157</v>
      </c>
      <c r="CP271"/>
      <c r="CQ271"/>
      <c r="CR271"/>
      <c r="CS271" t="s">
        <v>788</v>
      </c>
      <c r="CT271">
        <v>12</v>
      </c>
      <c r="CU271"/>
      <c r="CV271"/>
      <c r="CW271"/>
      <c r="CX271"/>
      <c r="CY271"/>
      <c r="CZ271"/>
      <c r="DA271"/>
      <c r="DB271"/>
      <c r="DC271"/>
      <c r="DD271"/>
      <c r="DE271"/>
      <c r="DF271"/>
      <c r="DG271"/>
      <c r="DH271"/>
      <c r="DI271"/>
      <c r="DJ271"/>
      <c r="DK271"/>
      <c r="DL271"/>
      <c r="DM271"/>
      <c r="DN271"/>
      <c r="DO271"/>
      <c r="DP271"/>
      <c r="DQ271"/>
      <c r="DR271"/>
      <c r="DS271"/>
      <c r="DT271"/>
      <c r="DU271"/>
      <c r="DV271"/>
      <c r="DW271"/>
      <c r="DX271">
        <v>135</v>
      </c>
      <c r="DY271" t="s">
        <v>1854</v>
      </c>
      <c r="DZ271"/>
      <c r="EA271"/>
      <c r="EB271"/>
      <c r="EC271"/>
      <c r="ED271"/>
      <c r="EE271"/>
      <c r="EF271"/>
      <c r="EG271"/>
      <c r="EH271"/>
      <c r="EI271"/>
      <c r="EJ271"/>
      <c r="EK271"/>
      <c r="EL271"/>
      <c r="EM271"/>
      <c r="EN271"/>
      <c r="EO271"/>
      <c r="EP271"/>
      <c r="EQ271"/>
      <c r="ER271">
        <v>75</v>
      </c>
      <c r="ES271"/>
      <c r="ET271"/>
      <c r="EU271"/>
      <c r="EV271" s="439">
        <v>1432</v>
      </c>
      <c r="EW271" t="s">
        <v>1292</v>
      </c>
      <c r="EX271" t="s">
        <v>1293</v>
      </c>
      <c r="EY271" t="s">
        <v>1294</v>
      </c>
      <c r="EZ271" t="s">
        <v>54</v>
      </c>
      <c r="FA271">
        <v>56728</v>
      </c>
      <c r="FB271"/>
    </row>
    <row r="272" spans="1:158" x14ac:dyDescent="0.2">
      <c r="A272" s="439">
        <v>1469</v>
      </c>
      <c r="B272" t="s">
        <v>2373</v>
      </c>
      <c r="C272" t="s">
        <v>2340</v>
      </c>
      <c r="D272" t="s">
        <v>2341</v>
      </c>
      <c r="E272"/>
      <c r="F272"/>
      <c r="G272" t="s">
        <v>813</v>
      </c>
      <c r="H272" s="576">
        <v>53527</v>
      </c>
      <c r="I272"/>
      <c r="J272" t="s">
        <v>2341</v>
      </c>
      <c r="K272"/>
      <c r="L272" t="s">
        <v>2340</v>
      </c>
      <c r="M272" t="s">
        <v>2342</v>
      </c>
      <c r="N272" t="s">
        <v>813</v>
      </c>
      <c r="O272" s="576">
        <v>53527</v>
      </c>
      <c r="P272"/>
      <c r="Q272">
        <v>6088399050</v>
      </c>
      <c r="R272">
        <v>6088398950</v>
      </c>
      <c r="S272" t="s">
        <v>2343</v>
      </c>
      <c r="T272" t="s">
        <v>2344</v>
      </c>
      <c r="U272" t="s">
        <v>1201</v>
      </c>
      <c r="V272" t="s">
        <v>2345</v>
      </c>
      <c r="W272" t="s">
        <v>2346</v>
      </c>
      <c r="X272" t="s">
        <v>1057</v>
      </c>
      <c r="Y272" t="s">
        <v>2347</v>
      </c>
      <c r="Z272" t="s">
        <v>2348</v>
      </c>
      <c r="AA272" t="s">
        <v>2349</v>
      </c>
      <c r="AB272">
        <v>6088399050</v>
      </c>
      <c r="AC272">
        <v>1113</v>
      </c>
      <c r="AD272">
        <v>6088398950</v>
      </c>
      <c r="AE272" t="s">
        <v>2350</v>
      </c>
      <c r="AF272" t="s">
        <v>2341</v>
      </c>
      <c r="AG272"/>
      <c r="AH272" t="s">
        <v>2340</v>
      </c>
      <c r="AI272" t="s">
        <v>2342</v>
      </c>
      <c r="AJ272" t="s">
        <v>813</v>
      </c>
      <c r="AK272" s="576">
        <v>53527</v>
      </c>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c r="BR272"/>
      <c r="BS272"/>
      <c r="BT272"/>
      <c r="BU272"/>
      <c r="BV272"/>
      <c r="BW272"/>
      <c r="BX272"/>
      <c r="BY272"/>
      <c r="BZ272"/>
      <c r="CA272"/>
      <c r="CB272"/>
      <c r="CC272"/>
      <c r="CD272"/>
      <c r="CE272"/>
      <c r="CF272" t="s">
        <v>2351</v>
      </c>
      <c r="CG272" t="s">
        <v>2349</v>
      </c>
      <c r="CH272" t="s">
        <v>142</v>
      </c>
      <c r="CI272"/>
      <c r="CJ272"/>
      <c r="CK272"/>
      <c r="CL272"/>
      <c r="CM272">
        <v>1295785079</v>
      </c>
      <c r="CN272">
        <v>425</v>
      </c>
      <c r="CO272">
        <v>157</v>
      </c>
      <c r="CP272"/>
      <c r="CQ272"/>
      <c r="CR272"/>
      <c r="CS272" t="s">
        <v>788</v>
      </c>
      <c r="CT272">
        <v>12</v>
      </c>
      <c r="CU272"/>
      <c r="CV272"/>
      <c r="CW272"/>
      <c r="CX272"/>
      <c r="CY272"/>
      <c r="CZ272"/>
      <c r="DA272"/>
      <c r="DB272"/>
      <c r="DC272"/>
      <c r="DD272"/>
      <c r="DE272"/>
      <c r="DF272"/>
      <c r="DG272"/>
      <c r="DH272"/>
      <c r="DI272"/>
      <c r="DJ272"/>
      <c r="DK272"/>
      <c r="DL272"/>
      <c r="DM272"/>
      <c r="DN272"/>
      <c r="DO272"/>
      <c r="DP272"/>
      <c r="DQ272"/>
      <c r="DR272"/>
      <c r="DS272"/>
      <c r="DT272"/>
      <c r="DU272"/>
      <c r="DV272"/>
      <c r="DW272"/>
      <c r="DX272">
        <v>135</v>
      </c>
      <c r="DY272" t="s">
        <v>1854</v>
      </c>
      <c r="DZ272"/>
      <c r="EA272"/>
      <c r="EB272"/>
      <c r="EC272"/>
      <c r="ED272"/>
      <c r="EE272"/>
      <c r="EF272">
        <v>138</v>
      </c>
      <c r="EG272" t="s">
        <v>1854</v>
      </c>
      <c r="EH272"/>
      <c r="EI272"/>
      <c r="EJ272"/>
      <c r="EK272"/>
      <c r="EL272"/>
      <c r="EM272"/>
      <c r="EN272"/>
      <c r="EO272"/>
      <c r="EP272"/>
      <c r="EQ272"/>
      <c r="ER272">
        <v>75</v>
      </c>
      <c r="ES272"/>
      <c r="ET272"/>
      <c r="EU272"/>
      <c r="EV272" s="439">
        <v>69</v>
      </c>
      <c r="EW272" t="s">
        <v>2957</v>
      </c>
      <c r="EX272" t="s">
        <v>1293</v>
      </c>
      <c r="EY272" t="s">
        <v>1294</v>
      </c>
      <c r="EZ272" t="s">
        <v>54</v>
      </c>
      <c r="FA272">
        <v>56728</v>
      </c>
      <c r="FB272">
        <v>1669403846</v>
      </c>
    </row>
    <row r="273" spans="1:158" x14ac:dyDescent="0.2">
      <c r="A273" s="439">
        <v>1686</v>
      </c>
      <c r="B273" t="s">
        <v>2374</v>
      </c>
      <c r="C273" t="s">
        <v>2340</v>
      </c>
      <c r="D273" t="s">
        <v>2341</v>
      </c>
      <c r="E273"/>
      <c r="F273"/>
      <c r="G273" t="s">
        <v>813</v>
      </c>
      <c r="H273" s="576">
        <v>53527</v>
      </c>
      <c r="I273"/>
      <c r="J273" t="s">
        <v>2341</v>
      </c>
      <c r="K273"/>
      <c r="L273" t="s">
        <v>2340</v>
      </c>
      <c r="M273" t="s">
        <v>2342</v>
      </c>
      <c r="N273" t="s">
        <v>813</v>
      </c>
      <c r="O273" s="576">
        <v>53527</v>
      </c>
      <c r="P273"/>
      <c r="Q273">
        <v>6088399050</v>
      </c>
      <c r="R273">
        <v>6088398950</v>
      </c>
      <c r="S273" t="s">
        <v>2343</v>
      </c>
      <c r="T273" t="s">
        <v>2344</v>
      </c>
      <c r="U273" t="s">
        <v>1201</v>
      </c>
      <c r="V273" t="s">
        <v>2345</v>
      </c>
      <c r="W273" t="s">
        <v>2346</v>
      </c>
      <c r="X273" t="s">
        <v>1057</v>
      </c>
      <c r="Y273" t="s">
        <v>2347</v>
      </c>
      <c r="Z273" t="s">
        <v>2348</v>
      </c>
      <c r="AA273" t="s">
        <v>2349</v>
      </c>
      <c r="AB273">
        <v>6088399050</v>
      </c>
      <c r="AC273">
        <v>1113</v>
      </c>
      <c r="AD273">
        <v>6088398950</v>
      </c>
      <c r="AE273" t="s">
        <v>2350</v>
      </c>
      <c r="AF273" t="s">
        <v>2341</v>
      </c>
      <c r="AG273"/>
      <c r="AH273" t="s">
        <v>2340</v>
      </c>
      <c r="AI273" t="s">
        <v>2342</v>
      </c>
      <c r="AJ273" t="s">
        <v>813</v>
      </c>
      <c r="AK273" s="576">
        <v>53527</v>
      </c>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c r="BR273"/>
      <c r="BS273"/>
      <c r="BT273"/>
      <c r="BU273"/>
      <c r="BV273"/>
      <c r="BW273"/>
      <c r="BX273"/>
      <c r="BY273"/>
      <c r="BZ273"/>
      <c r="CA273"/>
      <c r="CB273"/>
      <c r="CC273"/>
      <c r="CD273"/>
      <c r="CE273"/>
      <c r="CF273" t="s">
        <v>2351</v>
      </c>
      <c r="CG273" t="s">
        <v>2349</v>
      </c>
      <c r="CH273" t="s">
        <v>142</v>
      </c>
      <c r="CI273"/>
      <c r="CJ273"/>
      <c r="CK273"/>
      <c r="CL273"/>
      <c r="CM273">
        <v>1295785079</v>
      </c>
      <c r="CN273">
        <v>425</v>
      </c>
      <c r="CO273">
        <v>157</v>
      </c>
      <c r="CP273"/>
      <c r="CQ273"/>
      <c r="CR273"/>
      <c r="CS273" t="s">
        <v>788</v>
      </c>
      <c r="CT273">
        <v>12</v>
      </c>
      <c r="CU273"/>
      <c r="CV273"/>
      <c r="CW273"/>
      <c r="CX273"/>
      <c r="CY273"/>
      <c r="CZ273"/>
      <c r="DA273"/>
      <c r="DB273"/>
      <c r="DC273"/>
      <c r="DD273"/>
      <c r="DE273"/>
      <c r="DF273"/>
      <c r="DG273"/>
      <c r="DH273"/>
      <c r="DI273"/>
      <c r="DJ273"/>
      <c r="DK273"/>
      <c r="DL273"/>
      <c r="DM273"/>
      <c r="DN273"/>
      <c r="DO273"/>
      <c r="DP273"/>
      <c r="DQ273"/>
      <c r="DR273"/>
      <c r="DS273"/>
      <c r="DT273"/>
      <c r="DU273"/>
      <c r="DV273"/>
      <c r="DW273"/>
      <c r="DX273">
        <v>135</v>
      </c>
      <c r="DY273" t="s">
        <v>1854</v>
      </c>
      <c r="DZ273"/>
      <c r="EA273"/>
      <c r="EB273"/>
      <c r="EC273"/>
      <c r="ED273"/>
      <c r="EE273"/>
      <c r="EF273">
        <v>138</v>
      </c>
      <c r="EG273" t="s">
        <v>1854</v>
      </c>
      <c r="EH273"/>
      <c r="EI273"/>
      <c r="EJ273"/>
      <c r="EK273"/>
      <c r="EL273"/>
      <c r="EM273"/>
      <c r="EN273"/>
      <c r="EO273"/>
      <c r="EP273"/>
      <c r="EQ273"/>
      <c r="ER273">
        <v>75</v>
      </c>
      <c r="ES273"/>
      <c r="ET273"/>
      <c r="EU273"/>
      <c r="EV273" s="439">
        <v>115</v>
      </c>
      <c r="EW273" t="s">
        <v>2958</v>
      </c>
      <c r="EX273" t="s">
        <v>2959</v>
      </c>
      <c r="EY273" t="s">
        <v>2960</v>
      </c>
      <c r="EZ273" t="s">
        <v>54</v>
      </c>
      <c r="FA273">
        <v>55033</v>
      </c>
      <c r="FB273">
        <v>1326066085</v>
      </c>
    </row>
    <row r="274" spans="1:158" x14ac:dyDescent="0.2">
      <c r="A274" s="439">
        <v>1687</v>
      </c>
      <c r="B274" t="s">
        <v>2375</v>
      </c>
      <c r="C274" t="s">
        <v>2340</v>
      </c>
      <c r="D274" t="s">
        <v>2341</v>
      </c>
      <c r="E274"/>
      <c r="F274"/>
      <c r="G274" t="s">
        <v>813</v>
      </c>
      <c r="H274" s="576">
        <v>53527</v>
      </c>
      <c r="I274"/>
      <c r="J274" t="s">
        <v>2341</v>
      </c>
      <c r="K274"/>
      <c r="L274" t="s">
        <v>2340</v>
      </c>
      <c r="M274" t="s">
        <v>2342</v>
      </c>
      <c r="N274" t="s">
        <v>813</v>
      </c>
      <c r="O274" s="576">
        <v>53527</v>
      </c>
      <c r="P274"/>
      <c r="Q274">
        <v>6088399050</v>
      </c>
      <c r="R274">
        <v>6088398950</v>
      </c>
      <c r="S274" t="s">
        <v>2343</v>
      </c>
      <c r="T274" t="s">
        <v>2344</v>
      </c>
      <c r="U274" t="s">
        <v>1201</v>
      </c>
      <c r="V274" t="s">
        <v>2345</v>
      </c>
      <c r="W274" t="s">
        <v>2346</v>
      </c>
      <c r="X274" t="s">
        <v>1057</v>
      </c>
      <c r="Y274" t="s">
        <v>2347</v>
      </c>
      <c r="Z274" t="s">
        <v>2348</v>
      </c>
      <c r="AA274" t="s">
        <v>2349</v>
      </c>
      <c r="AB274">
        <v>6088399050</v>
      </c>
      <c r="AC274">
        <v>1113</v>
      </c>
      <c r="AD274">
        <v>6088398950</v>
      </c>
      <c r="AE274" t="s">
        <v>2350</v>
      </c>
      <c r="AF274" t="s">
        <v>2341</v>
      </c>
      <c r="AG274"/>
      <c r="AH274" t="s">
        <v>2340</v>
      </c>
      <c r="AI274" t="s">
        <v>2342</v>
      </c>
      <c r="AJ274" t="s">
        <v>813</v>
      </c>
      <c r="AK274" s="576">
        <v>53527</v>
      </c>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c r="BR274"/>
      <c r="BS274"/>
      <c r="BT274"/>
      <c r="BU274"/>
      <c r="BV274"/>
      <c r="BW274"/>
      <c r="BX274"/>
      <c r="BY274"/>
      <c r="BZ274"/>
      <c r="CA274"/>
      <c r="CB274"/>
      <c r="CC274"/>
      <c r="CD274"/>
      <c r="CE274"/>
      <c r="CF274" t="s">
        <v>2351</v>
      </c>
      <c r="CG274" t="s">
        <v>2349</v>
      </c>
      <c r="CH274"/>
      <c r="CI274"/>
      <c r="CJ274"/>
      <c r="CK274"/>
      <c r="CL274"/>
      <c r="CM274">
        <v>1295785079</v>
      </c>
      <c r="CN274">
        <v>425</v>
      </c>
      <c r="CO274">
        <v>157</v>
      </c>
      <c r="CP274"/>
      <c r="CQ274"/>
      <c r="CR274"/>
      <c r="CS274" t="s">
        <v>788</v>
      </c>
      <c r="CT274">
        <v>12</v>
      </c>
      <c r="CU274"/>
      <c r="CV274"/>
      <c r="CW274"/>
      <c r="CX274"/>
      <c r="CY274"/>
      <c r="CZ274"/>
      <c r="DA274"/>
      <c r="DB274"/>
      <c r="DC274"/>
      <c r="DD274"/>
      <c r="DE274"/>
      <c r="DF274"/>
      <c r="DG274"/>
      <c r="DH274"/>
      <c r="DI274"/>
      <c r="DJ274"/>
      <c r="DK274"/>
      <c r="DL274"/>
      <c r="DM274"/>
      <c r="DN274"/>
      <c r="DO274"/>
      <c r="DP274"/>
      <c r="DQ274"/>
      <c r="DR274"/>
      <c r="DS274"/>
      <c r="DT274"/>
      <c r="DU274"/>
      <c r="DV274"/>
      <c r="DW274"/>
      <c r="DX274">
        <v>135</v>
      </c>
      <c r="DY274" t="s">
        <v>1854</v>
      </c>
      <c r="DZ274"/>
      <c r="EA274"/>
      <c r="EB274"/>
      <c r="EC274"/>
      <c r="ED274"/>
      <c r="EE274"/>
      <c r="EF274">
        <v>138</v>
      </c>
      <c r="EG274" t="s">
        <v>1854</v>
      </c>
      <c r="EH274"/>
      <c r="EI274"/>
      <c r="EJ274"/>
      <c r="EK274"/>
      <c r="EL274"/>
      <c r="EM274"/>
      <c r="EN274"/>
      <c r="EO274"/>
      <c r="EP274"/>
      <c r="EQ274"/>
      <c r="ER274">
        <v>75</v>
      </c>
      <c r="ES274"/>
      <c r="ET274"/>
      <c r="EU274"/>
      <c r="EV274" s="439">
        <v>58</v>
      </c>
      <c r="EW274" t="s">
        <v>2961</v>
      </c>
      <c r="EX274" t="s">
        <v>2962</v>
      </c>
      <c r="EY274" t="s">
        <v>2963</v>
      </c>
      <c r="EZ274" t="s">
        <v>54</v>
      </c>
      <c r="FA274">
        <v>56136</v>
      </c>
      <c r="FB274">
        <v>1316026370</v>
      </c>
    </row>
    <row r="275" spans="1:158" x14ac:dyDescent="0.2">
      <c r="A275" s="439">
        <v>1698</v>
      </c>
      <c r="B275" t="s">
        <v>2376</v>
      </c>
      <c r="C275" t="s">
        <v>2340</v>
      </c>
      <c r="D275" t="s">
        <v>2341</v>
      </c>
      <c r="E275"/>
      <c r="F275"/>
      <c r="G275" t="s">
        <v>813</v>
      </c>
      <c r="H275" s="576">
        <v>53527</v>
      </c>
      <c r="I275"/>
      <c r="J275" t="s">
        <v>2341</v>
      </c>
      <c r="K275"/>
      <c r="L275" t="s">
        <v>2340</v>
      </c>
      <c r="M275" t="s">
        <v>2342</v>
      </c>
      <c r="N275" t="s">
        <v>813</v>
      </c>
      <c r="O275" s="576">
        <v>53527</v>
      </c>
      <c r="P275"/>
      <c r="Q275">
        <v>6088399050</v>
      </c>
      <c r="R275">
        <v>6088398950</v>
      </c>
      <c r="S275" t="s">
        <v>2343</v>
      </c>
      <c r="T275" t="s">
        <v>2344</v>
      </c>
      <c r="U275" t="s">
        <v>1201</v>
      </c>
      <c r="V275" t="s">
        <v>2345</v>
      </c>
      <c r="W275" t="s">
        <v>2346</v>
      </c>
      <c r="X275" t="s">
        <v>1057</v>
      </c>
      <c r="Y275" t="s">
        <v>2347</v>
      </c>
      <c r="Z275" t="s">
        <v>2348</v>
      </c>
      <c r="AA275" t="s">
        <v>2349</v>
      </c>
      <c r="AB275">
        <v>6088399050</v>
      </c>
      <c r="AC275">
        <v>1113</v>
      </c>
      <c r="AD275">
        <v>6088398950</v>
      </c>
      <c r="AE275" t="s">
        <v>2350</v>
      </c>
      <c r="AF275" t="s">
        <v>2341</v>
      </c>
      <c r="AG275"/>
      <c r="AH275" t="s">
        <v>2340</v>
      </c>
      <c r="AI275" t="s">
        <v>2342</v>
      </c>
      <c r="AJ275" t="s">
        <v>813</v>
      </c>
      <c r="AK275" s="576">
        <v>53527</v>
      </c>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c r="BR275"/>
      <c r="BS275"/>
      <c r="BT275"/>
      <c r="BU275"/>
      <c r="BV275"/>
      <c r="BW275"/>
      <c r="BX275"/>
      <c r="BY275"/>
      <c r="BZ275"/>
      <c r="CA275"/>
      <c r="CB275"/>
      <c r="CC275"/>
      <c r="CD275"/>
      <c r="CE275"/>
      <c r="CF275" t="s">
        <v>2351</v>
      </c>
      <c r="CG275" t="s">
        <v>2349</v>
      </c>
      <c r="CH275" t="s">
        <v>141</v>
      </c>
      <c r="CI275"/>
      <c r="CJ275"/>
      <c r="CK275"/>
      <c r="CL275"/>
      <c r="CM275">
        <v>1295785079</v>
      </c>
      <c r="CN275">
        <v>425</v>
      </c>
      <c r="CO275">
        <v>157</v>
      </c>
      <c r="CP275"/>
      <c r="CQ275"/>
      <c r="CR275"/>
      <c r="CS275" t="s">
        <v>788</v>
      </c>
      <c r="CT275">
        <v>12</v>
      </c>
      <c r="CU275"/>
      <c r="CV275"/>
      <c r="CW275"/>
      <c r="CX275"/>
      <c r="CY275"/>
      <c r="CZ275"/>
      <c r="DA275"/>
      <c r="DB275"/>
      <c r="DC275"/>
      <c r="DD275"/>
      <c r="DE275"/>
      <c r="DF275"/>
      <c r="DG275"/>
      <c r="DH275"/>
      <c r="DI275"/>
      <c r="DJ275"/>
      <c r="DK275"/>
      <c r="DL275"/>
      <c r="DM275"/>
      <c r="DN275"/>
      <c r="DO275"/>
      <c r="DP275"/>
      <c r="DQ275"/>
      <c r="DR275"/>
      <c r="DS275"/>
      <c r="DT275">
        <v>141</v>
      </c>
      <c r="DU275" t="s">
        <v>1854</v>
      </c>
      <c r="DV275"/>
      <c r="DW275"/>
      <c r="DX275"/>
      <c r="DY275"/>
      <c r="DZ275"/>
      <c r="EA275"/>
      <c r="EB275"/>
      <c r="EC275"/>
      <c r="ED275"/>
      <c r="EE275"/>
      <c r="EF275">
        <v>138</v>
      </c>
      <c r="EG275" t="s">
        <v>1854</v>
      </c>
      <c r="EH275"/>
      <c r="EI275"/>
      <c r="EJ275"/>
      <c r="EK275"/>
      <c r="EL275"/>
      <c r="EM275"/>
      <c r="EN275"/>
      <c r="EO275"/>
      <c r="EP275"/>
      <c r="EQ275"/>
      <c r="ER275">
        <v>75</v>
      </c>
      <c r="ES275"/>
      <c r="ET275"/>
      <c r="EU275"/>
      <c r="EV275" s="439">
        <v>862</v>
      </c>
      <c r="EW275" t="s">
        <v>1281</v>
      </c>
      <c r="EX275" t="s">
        <v>1282</v>
      </c>
      <c r="EY275" t="s">
        <v>1283</v>
      </c>
      <c r="EZ275" t="s">
        <v>54</v>
      </c>
      <c r="FA275">
        <v>55746</v>
      </c>
      <c r="FB275"/>
    </row>
    <row r="276" spans="1:158" x14ac:dyDescent="0.2">
      <c r="A276" s="439">
        <v>1841</v>
      </c>
      <c r="B276" t="s">
        <v>2377</v>
      </c>
      <c r="C276" t="s">
        <v>2340</v>
      </c>
      <c r="D276" t="s">
        <v>2341</v>
      </c>
      <c r="E276"/>
      <c r="F276"/>
      <c r="G276" t="s">
        <v>813</v>
      </c>
      <c r="H276" s="576">
        <v>53527</v>
      </c>
      <c r="I276"/>
      <c r="J276" t="s">
        <v>2341</v>
      </c>
      <c r="K276"/>
      <c r="L276" t="s">
        <v>2340</v>
      </c>
      <c r="M276" t="s">
        <v>2342</v>
      </c>
      <c r="N276" t="s">
        <v>813</v>
      </c>
      <c r="O276" s="576">
        <v>53527</v>
      </c>
      <c r="P276"/>
      <c r="Q276">
        <v>6088399050</v>
      </c>
      <c r="R276">
        <v>6088398950</v>
      </c>
      <c r="S276" t="s">
        <v>2343</v>
      </c>
      <c r="T276" t="s">
        <v>2344</v>
      </c>
      <c r="U276" t="s">
        <v>1201</v>
      </c>
      <c r="V276" t="s">
        <v>2345</v>
      </c>
      <c r="W276" t="s">
        <v>2346</v>
      </c>
      <c r="X276" t="s">
        <v>1057</v>
      </c>
      <c r="Y276" t="s">
        <v>2347</v>
      </c>
      <c r="Z276" t="s">
        <v>2348</v>
      </c>
      <c r="AA276" t="s">
        <v>2349</v>
      </c>
      <c r="AB276">
        <v>6088399050</v>
      </c>
      <c r="AC276">
        <v>1113</v>
      </c>
      <c r="AD276">
        <v>6088398950</v>
      </c>
      <c r="AE276" t="s">
        <v>2350</v>
      </c>
      <c r="AF276" t="s">
        <v>2341</v>
      </c>
      <c r="AG276"/>
      <c r="AH276" t="s">
        <v>2340</v>
      </c>
      <c r="AI276" t="s">
        <v>2342</v>
      </c>
      <c r="AJ276" t="s">
        <v>813</v>
      </c>
      <c r="AK276" s="576">
        <v>53527</v>
      </c>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c r="BR276"/>
      <c r="BS276"/>
      <c r="BT276"/>
      <c r="BU276"/>
      <c r="BV276"/>
      <c r="BW276"/>
      <c r="BX276"/>
      <c r="BY276"/>
      <c r="BZ276"/>
      <c r="CA276"/>
      <c r="CB276"/>
      <c r="CC276"/>
      <c r="CD276"/>
      <c r="CE276"/>
      <c r="CF276" t="s">
        <v>2351</v>
      </c>
      <c r="CG276" t="s">
        <v>2349</v>
      </c>
      <c r="CH276" t="s">
        <v>141</v>
      </c>
      <c r="CI276"/>
      <c r="CJ276"/>
      <c r="CK276"/>
      <c r="CL276"/>
      <c r="CM276">
        <v>1295785079</v>
      </c>
      <c r="CN276">
        <v>425</v>
      </c>
      <c r="CO276">
        <v>157</v>
      </c>
      <c r="CP276"/>
      <c r="CQ276"/>
      <c r="CR276"/>
      <c r="CS276" t="s">
        <v>788</v>
      </c>
      <c r="CT276">
        <v>12</v>
      </c>
      <c r="CU276"/>
      <c r="CV276"/>
      <c r="CW276"/>
      <c r="CX276"/>
      <c r="CY276"/>
      <c r="CZ276"/>
      <c r="DA276"/>
      <c r="DB276"/>
      <c r="DC276"/>
      <c r="DD276"/>
      <c r="DE276"/>
      <c r="DF276"/>
      <c r="DG276"/>
      <c r="DH276"/>
      <c r="DI276"/>
      <c r="DJ276"/>
      <c r="DK276"/>
      <c r="DL276"/>
      <c r="DM276"/>
      <c r="DN276"/>
      <c r="DO276"/>
      <c r="DP276"/>
      <c r="DQ276"/>
      <c r="DR276"/>
      <c r="DS276"/>
      <c r="DT276">
        <v>141</v>
      </c>
      <c r="DU276" t="s">
        <v>2357</v>
      </c>
      <c r="DV276"/>
      <c r="DW276"/>
      <c r="DX276"/>
      <c r="DY276"/>
      <c r="DZ276"/>
      <c r="EA276"/>
      <c r="EB276"/>
      <c r="EC276"/>
      <c r="ED276"/>
      <c r="EE276"/>
      <c r="EF276">
        <v>138</v>
      </c>
      <c r="EG276" t="s">
        <v>2357</v>
      </c>
      <c r="EH276"/>
      <c r="EI276"/>
      <c r="EJ276"/>
      <c r="EK276"/>
      <c r="EL276"/>
      <c r="EM276"/>
      <c r="EN276"/>
      <c r="EO276"/>
      <c r="EP276"/>
      <c r="EQ276"/>
      <c r="ER276">
        <v>75</v>
      </c>
      <c r="ES276"/>
      <c r="ET276"/>
      <c r="EU276"/>
      <c r="EV276" s="439">
        <v>596</v>
      </c>
      <c r="EW276" t="s">
        <v>1587</v>
      </c>
      <c r="EX276" t="s">
        <v>1282</v>
      </c>
      <c r="EY276" t="s">
        <v>1588</v>
      </c>
      <c r="EZ276" t="s">
        <v>54</v>
      </c>
      <c r="FA276">
        <v>55746</v>
      </c>
      <c r="FB276">
        <v>1780621508</v>
      </c>
    </row>
    <row r="277" spans="1:158" x14ac:dyDescent="0.2">
      <c r="A277" s="439">
        <v>1773</v>
      </c>
      <c r="B277" t="s">
        <v>2378</v>
      </c>
      <c r="C277" t="s">
        <v>2340</v>
      </c>
      <c r="D277" t="s">
        <v>2341</v>
      </c>
      <c r="E277"/>
      <c r="F277"/>
      <c r="G277" t="s">
        <v>813</v>
      </c>
      <c r="H277" s="576">
        <v>53527</v>
      </c>
      <c r="I277"/>
      <c r="J277" t="s">
        <v>2341</v>
      </c>
      <c r="K277"/>
      <c r="L277" t="s">
        <v>2340</v>
      </c>
      <c r="M277" t="s">
        <v>2342</v>
      </c>
      <c r="N277" t="s">
        <v>813</v>
      </c>
      <c r="O277" s="576">
        <v>53527</v>
      </c>
      <c r="P277"/>
      <c r="Q277">
        <v>6088399050</v>
      </c>
      <c r="R277">
        <v>6088398950</v>
      </c>
      <c r="S277" t="s">
        <v>2343</v>
      </c>
      <c r="T277" t="s">
        <v>2344</v>
      </c>
      <c r="U277" t="s">
        <v>1201</v>
      </c>
      <c r="V277" t="s">
        <v>2345</v>
      </c>
      <c r="W277" t="s">
        <v>2346</v>
      </c>
      <c r="X277" t="s">
        <v>1057</v>
      </c>
      <c r="Y277" t="s">
        <v>2347</v>
      </c>
      <c r="Z277" t="s">
        <v>2348</v>
      </c>
      <c r="AA277" t="s">
        <v>2349</v>
      </c>
      <c r="AB277">
        <v>6088399050</v>
      </c>
      <c r="AC277">
        <v>1113</v>
      </c>
      <c r="AD277">
        <v>6088398950</v>
      </c>
      <c r="AE277" t="s">
        <v>2350</v>
      </c>
      <c r="AF277" t="s">
        <v>2341</v>
      </c>
      <c r="AG277"/>
      <c r="AH277" t="s">
        <v>2340</v>
      </c>
      <c r="AI277" t="s">
        <v>2342</v>
      </c>
      <c r="AJ277" t="s">
        <v>813</v>
      </c>
      <c r="AK277" s="576">
        <v>53527</v>
      </c>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c r="BR277"/>
      <c r="BS277"/>
      <c r="BT277"/>
      <c r="BU277"/>
      <c r="BV277"/>
      <c r="BW277"/>
      <c r="BX277"/>
      <c r="BY277"/>
      <c r="BZ277"/>
      <c r="CA277"/>
      <c r="CB277"/>
      <c r="CC277"/>
      <c r="CD277"/>
      <c r="CE277"/>
      <c r="CF277" t="s">
        <v>2351</v>
      </c>
      <c r="CG277" t="s">
        <v>2349</v>
      </c>
      <c r="CH277" t="s">
        <v>141</v>
      </c>
      <c r="CI277"/>
      <c r="CJ277"/>
      <c r="CK277"/>
      <c r="CL277"/>
      <c r="CM277">
        <v>1295785079</v>
      </c>
      <c r="CN277">
        <v>425</v>
      </c>
      <c r="CO277">
        <v>157</v>
      </c>
      <c r="CP277"/>
      <c r="CQ277"/>
      <c r="CR277"/>
      <c r="CS277" t="s">
        <v>788</v>
      </c>
      <c r="CT277">
        <v>12</v>
      </c>
      <c r="CU277"/>
      <c r="CV277"/>
      <c r="CW277"/>
      <c r="CX277"/>
      <c r="CY277"/>
      <c r="CZ277"/>
      <c r="DA277"/>
      <c r="DB277"/>
      <c r="DC277"/>
      <c r="DD277"/>
      <c r="DE277"/>
      <c r="DF277"/>
      <c r="DG277"/>
      <c r="DH277"/>
      <c r="DI277"/>
      <c r="DJ277"/>
      <c r="DK277"/>
      <c r="DL277"/>
      <c r="DM277"/>
      <c r="DN277"/>
      <c r="DO277"/>
      <c r="DP277"/>
      <c r="DQ277"/>
      <c r="DR277"/>
      <c r="DS277"/>
      <c r="DT277">
        <v>141</v>
      </c>
      <c r="DU277" t="s">
        <v>2357</v>
      </c>
      <c r="DV277"/>
      <c r="DW277"/>
      <c r="DX277"/>
      <c r="DY277"/>
      <c r="DZ277"/>
      <c r="EA277"/>
      <c r="EB277"/>
      <c r="EC277"/>
      <c r="ED277"/>
      <c r="EE277"/>
      <c r="EF277">
        <v>138</v>
      </c>
      <c r="EG277" t="s">
        <v>2357</v>
      </c>
      <c r="EH277"/>
      <c r="EI277"/>
      <c r="EJ277"/>
      <c r="EK277"/>
      <c r="EL277"/>
      <c r="EM277"/>
      <c r="EN277"/>
      <c r="EO277"/>
      <c r="EP277"/>
      <c r="EQ277"/>
      <c r="ER277">
        <v>75</v>
      </c>
      <c r="ES277"/>
      <c r="ET277"/>
      <c r="EU277"/>
      <c r="EV277" s="439">
        <v>85</v>
      </c>
      <c r="EW277" t="s">
        <v>2964</v>
      </c>
      <c r="EX277" t="s">
        <v>1282</v>
      </c>
      <c r="EY277" t="s">
        <v>1283</v>
      </c>
      <c r="EZ277" t="s">
        <v>54</v>
      </c>
      <c r="FA277">
        <v>55746</v>
      </c>
      <c r="FB277">
        <v>1356321699</v>
      </c>
    </row>
    <row r="278" spans="1:158" x14ac:dyDescent="0.2">
      <c r="A278" s="439">
        <v>1334</v>
      </c>
      <c r="B278" t="s">
        <v>2379</v>
      </c>
      <c r="C278" t="s">
        <v>2340</v>
      </c>
      <c r="D278" t="s">
        <v>2341</v>
      </c>
      <c r="E278"/>
      <c r="F278"/>
      <c r="G278" t="s">
        <v>813</v>
      </c>
      <c r="H278" s="576">
        <v>53527</v>
      </c>
      <c r="I278"/>
      <c r="J278" t="s">
        <v>2341</v>
      </c>
      <c r="K278"/>
      <c r="L278" t="s">
        <v>2340</v>
      </c>
      <c r="M278" t="s">
        <v>2342</v>
      </c>
      <c r="N278" t="s">
        <v>813</v>
      </c>
      <c r="O278" s="576">
        <v>53527</v>
      </c>
      <c r="P278"/>
      <c r="Q278">
        <v>6088399050</v>
      </c>
      <c r="R278">
        <v>6088398950</v>
      </c>
      <c r="S278" t="s">
        <v>2343</v>
      </c>
      <c r="T278" t="s">
        <v>2344</v>
      </c>
      <c r="U278" t="s">
        <v>1201</v>
      </c>
      <c r="V278" t="s">
        <v>2345</v>
      </c>
      <c r="W278" t="s">
        <v>2346</v>
      </c>
      <c r="X278" t="s">
        <v>1057</v>
      </c>
      <c r="Y278" t="s">
        <v>2347</v>
      </c>
      <c r="Z278" t="s">
        <v>2348</v>
      </c>
      <c r="AA278" t="s">
        <v>2349</v>
      </c>
      <c r="AB278">
        <v>6088399050</v>
      </c>
      <c r="AC278">
        <v>1113</v>
      </c>
      <c r="AD278">
        <v>6088398950</v>
      </c>
      <c r="AE278" t="s">
        <v>2350</v>
      </c>
      <c r="AF278" t="s">
        <v>2341</v>
      </c>
      <c r="AG278"/>
      <c r="AH278" t="s">
        <v>2340</v>
      </c>
      <c r="AI278" t="s">
        <v>2342</v>
      </c>
      <c r="AJ278" t="s">
        <v>813</v>
      </c>
      <c r="AK278" s="576">
        <v>53527</v>
      </c>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c r="BR278"/>
      <c r="BS278"/>
      <c r="BT278"/>
      <c r="BU278"/>
      <c r="BV278"/>
      <c r="BW278"/>
      <c r="BX278"/>
      <c r="BY278"/>
      <c r="BZ278"/>
      <c r="CA278"/>
      <c r="CB278"/>
      <c r="CC278"/>
      <c r="CD278"/>
      <c r="CE278"/>
      <c r="CF278" t="s">
        <v>2351</v>
      </c>
      <c r="CG278" t="s">
        <v>2349</v>
      </c>
      <c r="CH278" t="s">
        <v>142</v>
      </c>
      <c r="CI278"/>
      <c r="CJ278"/>
      <c r="CK278"/>
      <c r="CL278"/>
      <c r="CM278">
        <v>1295785079</v>
      </c>
      <c r="CN278">
        <v>425</v>
      </c>
      <c r="CO278">
        <v>157</v>
      </c>
      <c r="CP278"/>
      <c r="CQ278"/>
      <c r="CR278"/>
      <c r="CS278" t="s">
        <v>788</v>
      </c>
      <c r="CT278">
        <v>12</v>
      </c>
      <c r="CU278"/>
      <c r="CV278"/>
      <c r="CW278"/>
      <c r="CX278"/>
      <c r="CY278"/>
      <c r="CZ278"/>
      <c r="DA278"/>
      <c r="DB278"/>
      <c r="DC278"/>
      <c r="DD278"/>
      <c r="DE278"/>
      <c r="DF278"/>
      <c r="DG278"/>
      <c r="DH278"/>
      <c r="DI278"/>
      <c r="DJ278"/>
      <c r="DK278"/>
      <c r="DL278"/>
      <c r="DM278"/>
      <c r="DN278"/>
      <c r="DO278"/>
      <c r="DP278"/>
      <c r="DQ278"/>
      <c r="DR278"/>
      <c r="DS278"/>
      <c r="DT278">
        <v>141</v>
      </c>
      <c r="DU278" t="s">
        <v>1854</v>
      </c>
      <c r="DV278"/>
      <c r="DW278"/>
      <c r="DX278"/>
      <c r="DY278"/>
      <c r="DZ278"/>
      <c r="EA278"/>
      <c r="EB278"/>
      <c r="EC278"/>
      <c r="ED278"/>
      <c r="EE278"/>
      <c r="EF278">
        <v>138</v>
      </c>
      <c r="EG278" t="s">
        <v>1854</v>
      </c>
      <c r="EH278"/>
      <c r="EI278"/>
      <c r="EJ278"/>
      <c r="EK278"/>
      <c r="EL278"/>
      <c r="EM278"/>
      <c r="EN278"/>
      <c r="EO278"/>
      <c r="EP278"/>
      <c r="EQ278"/>
      <c r="ER278">
        <v>75</v>
      </c>
      <c r="ES278"/>
      <c r="ET278"/>
      <c r="EU278"/>
      <c r="EV278" s="439">
        <v>1452</v>
      </c>
      <c r="EW278" t="s">
        <v>1473</v>
      </c>
      <c r="EX278" t="s">
        <v>1474</v>
      </c>
      <c r="EY278" t="s">
        <v>1475</v>
      </c>
      <c r="EZ278" t="s">
        <v>1476</v>
      </c>
      <c r="FA278">
        <v>48842</v>
      </c>
      <c r="FB278"/>
    </row>
    <row r="279" spans="1:158" x14ac:dyDescent="0.2">
      <c r="A279" s="439">
        <v>1414</v>
      </c>
      <c r="B279" t="s">
        <v>2380</v>
      </c>
      <c r="C279" t="s">
        <v>2340</v>
      </c>
      <c r="D279" t="s">
        <v>2341</v>
      </c>
      <c r="E279"/>
      <c r="F279"/>
      <c r="G279" t="s">
        <v>813</v>
      </c>
      <c r="H279" s="576">
        <v>53527</v>
      </c>
      <c r="I279"/>
      <c r="J279" t="s">
        <v>2341</v>
      </c>
      <c r="K279"/>
      <c r="L279" t="s">
        <v>2340</v>
      </c>
      <c r="M279" t="s">
        <v>2342</v>
      </c>
      <c r="N279" t="s">
        <v>813</v>
      </c>
      <c r="O279" s="576">
        <v>53527</v>
      </c>
      <c r="P279"/>
      <c r="Q279">
        <v>6088399050</v>
      </c>
      <c r="R279">
        <v>6088398950</v>
      </c>
      <c r="S279" t="s">
        <v>2343</v>
      </c>
      <c r="T279" t="s">
        <v>2344</v>
      </c>
      <c r="U279" t="s">
        <v>1201</v>
      </c>
      <c r="V279" t="s">
        <v>2345</v>
      </c>
      <c r="W279" t="s">
        <v>2346</v>
      </c>
      <c r="X279" t="s">
        <v>1057</v>
      </c>
      <c r="Y279" t="s">
        <v>2347</v>
      </c>
      <c r="Z279" t="s">
        <v>2348</v>
      </c>
      <c r="AA279" t="s">
        <v>2349</v>
      </c>
      <c r="AB279">
        <v>6088399050</v>
      </c>
      <c r="AC279">
        <v>1113</v>
      </c>
      <c r="AD279">
        <v>6088398950</v>
      </c>
      <c r="AE279" t="s">
        <v>2350</v>
      </c>
      <c r="AF279" t="s">
        <v>2341</v>
      </c>
      <c r="AG279"/>
      <c r="AH279" t="s">
        <v>2340</v>
      </c>
      <c r="AI279" t="s">
        <v>2342</v>
      </c>
      <c r="AJ279" t="s">
        <v>813</v>
      </c>
      <c r="AK279" s="576">
        <v>53527</v>
      </c>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c r="BR279"/>
      <c r="BS279"/>
      <c r="BT279"/>
      <c r="BU279"/>
      <c r="BV279"/>
      <c r="BW279"/>
      <c r="BX279"/>
      <c r="BY279"/>
      <c r="BZ279"/>
      <c r="CA279"/>
      <c r="CB279"/>
      <c r="CC279"/>
      <c r="CD279"/>
      <c r="CE279"/>
      <c r="CF279" t="s">
        <v>2351</v>
      </c>
      <c r="CG279" t="s">
        <v>2349</v>
      </c>
      <c r="CH279" t="s">
        <v>142</v>
      </c>
      <c r="CI279"/>
      <c r="CJ279"/>
      <c r="CK279"/>
      <c r="CL279"/>
      <c r="CM279">
        <v>1295785079</v>
      </c>
      <c r="CN279">
        <v>425</v>
      </c>
      <c r="CO279">
        <v>157</v>
      </c>
      <c r="CP279"/>
      <c r="CQ279"/>
      <c r="CR279"/>
      <c r="CS279" t="s">
        <v>788</v>
      </c>
      <c r="CT279">
        <v>12</v>
      </c>
      <c r="CU279"/>
      <c r="CV279"/>
      <c r="CW279"/>
      <c r="CX279"/>
      <c r="CY279"/>
      <c r="CZ279"/>
      <c r="DA279"/>
      <c r="DB279"/>
      <c r="DC279"/>
      <c r="DD279"/>
      <c r="DE279"/>
      <c r="DF279"/>
      <c r="DG279"/>
      <c r="DH279"/>
      <c r="DI279"/>
      <c r="DJ279"/>
      <c r="DK279"/>
      <c r="DL279"/>
      <c r="DM279"/>
      <c r="DN279"/>
      <c r="DO279"/>
      <c r="DP279"/>
      <c r="DQ279"/>
      <c r="DR279"/>
      <c r="DS279"/>
      <c r="DT279">
        <v>141</v>
      </c>
      <c r="DU279" t="s">
        <v>1854</v>
      </c>
      <c r="DV279"/>
      <c r="DW279"/>
      <c r="DX279"/>
      <c r="DY279"/>
      <c r="DZ279"/>
      <c r="EA279"/>
      <c r="EB279"/>
      <c r="EC279"/>
      <c r="ED279"/>
      <c r="EE279"/>
      <c r="EF279">
        <v>138</v>
      </c>
      <c r="EG279" t="s">
        <v>1854</v>
      </c>
      <c r="EH279"/>
      <c r="EI279"/>
      <c r="EJ279"/>
      <c r="EK279"/>
      <c r="EL279"/>
      <c r="EM279"/>
      <c r="EN279"/>
      <c r="EO279"/>
      <c r="EP279"/>
      <c r="EQ279"/>
      <c r="ER279">
        <v>75</v>
      </c>
      <c r="ES279"/>
      <c r="ET279"/>
      <c r="EU279"/>
      <c r="EV279" s="439">
        <v>1460</v>
      </c>
      <c r="EW279" t="s">
        <v>1488</v>
      </c>
      <c r="EX279" t="s">
        <v>1474</v>
      </c>
      <c r="EY279" t="s">
        <v>1475</v>
      </c>
      <c r="EZ279" t="s">
        <v>1476</v>
      </c>
      <c r="FA279">
        <v>48842</v>
      </c>
      <c r="FB279"/>
    </row>
    <row r="280" spans="1:158" x14ac:dyDescent="0.2">
      <c r="A280" s="439">
        <v>1688</v>
      </c>
      <c r="B280" t="s">
        <v>2381</v>
      </c>
      <c r="C280" t="s">
        <v>2340</v>
      </c>
      <c r="D280" t="s">
        <v>2341</v>
      </c>
      <c r="E280"/>
      <c r="F280"/>
      <c r="G280" t="s">
        <v>813</v>
      </c>
      <c r="H280" s="576">
        <v>53527</v>
      </c>
      <c r="I280"/>
      <c r="J280" t="s">
        <v>2341</v>
      </c>
      <c r="K280"/>
      <c r="L280" t="s">
        <v>2340</v>
      </c>
      <c r="M280" t="s">
        <v>2342</v>
      </c>
      <c r="N280" t="s">
        <v>813</v>
      </c>
      <c r="O280" s="576">
        <v>53527</v>
      </c>
      <c r="P280"/>
      <c r="Q280">
        <v>6088399050</v>
      </c>
      <c r="R280">
        <v>6088398950</v>
      </c>
      <c r="S280" t="s">
        <v>2343</v>
      </c>
      <c r="T280" t="s">
        <v>2344</v>
      </c>
      <c r="U280" t="s">
        <v>1201</v>
      </c>
      <c r="V280" t="s">
        <v>2345</v>
      </c>
      <c r="W280" t="s">
        <v>2346</v>
      </c>
      <c r="X280" t="s">
        <v>1057</v>
      </c>
      <c r="Y280" t="s">
        <v>2347</v>
      </c>
      <c r="Z280" t="s">
        <v>2348</v>
      </c>
      <c r="AA280" t="s">
        <v>2349</v>
      </c>
      <c r="AB280">
        <v>6088399050</v>
      </c>
      <c r="AC280">
        <v>1113</v>
      </c>
      <c r="AD280">
        <v>6088398950</v>
      </c>
      <c r="AE280" t="s">
        <v>2350</v>
      </c>
      <c r="AF280" t="s">
        <v>2341</v>
      </c>
      <c r="AG280"/>
      <c r="AH280" t="s">
        <v>2340</v>
      </c>
      <c r="AI280" t="s">
        <v>2342</v>
      </c>
      <c r="AJ280" t="s">
        <v>813</v>
      </c>
      <c r="AK280" s="576">
        <v>53527</v>
      </c>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c r="BR280"/>
      <c r="BS280"/>
      <c r="BT280"/>
      <c r="BU280"/>
      <c r="BV280"/>
      <c r="BW280"/>
      <c r="BX280"/>
      <c r="BY280"/>
      <c r="BZ280"/>
      <c r="CA280"/>
      <c r="CB280"/>
      <c r="CC280"/>
      <c r="CD280"/>
      <c r="CE280"/>
      <c r="CF280" t="s">
        <v>2351</v>
      </c>
      <c r="CG280" t="s">
        <v>2349</v>
      </c>
      <c r="CH280" t="s">
        <v>142</v>
      </c>
      <c r="CI280"/>
      <c r="CJ280"/>
      <c r="CK280"/>
      <c r="CL280"/>
      <c r="CM280">
        <v>1295785079</v>
      </c>
      <c r="CN280">
        <v>425</v>
      </c>
      <c r="CO280">
        <v>157</v>
      </c>
      <c r="CP280"/>
      <c r="CQ280"/>
      <c r="CR280"/>
      <c r="CS280" t="s">
        <v>788</v>
      </c>
      <c r="CT280">
        <v>12</v>
      </c>
      <c r="CU280"/>
      <c r="CV280"/>
      <c r="CW280"/>
      <c r="CX280"/>
      <c r="CY280"/>
      <c r="CZ280"/>
      <c r="DA280"/>
      <c r="DB280"/>
      <c r="DC280"/>
      <c r="DD280"/>
      <c r="DE280"/>
      <c r="DF280"/>
      <c r="DG280"/>
      <c r="DH280"/>
      <c r="DI280"/>
      <c r="DJ280"/>
      <c r="DK280"/>
      <c r="DL280"/>
      <c r="DM280"/>
      <c r="DN280"/>
      <c r="DO280"/>
      <c r="DP280"/>
      <c r="DQ280"/>
      <c r="DR280"/>
      <c r="DS280"/>
      <c r="DT280"/>
      <c r="DU280"/>
      <c r="DV280"/>
      <c r="DW280"/>
      <c r="DX280">
        <v>135</v>
      </c>
      <c r="DY280" t="s">
        <v>1854</v>
      </c>
      <c r="DZ280"/>
      <c r="EA280"/>
      <c r="EB280"/>
      <c r="EC280"/>
      <c r="ED280"/>
      <c r="EE280"/>
      <c r="EF280">
        <v>138</v>
      </c>
      <c r="EG280" t="s">
        <v>1854</v>
      </c>
      <c r="EH280"/>
      <c r="EI280"/>
      <c r="EJ280"/>
      <c r="EK280"/>
      <c r="EL280"/>
      <c r="EM280"/>
      <c r="EN280"/>
      <c r="EO280"/>
      <c r="EP280"/>
      <c r="EQ280"/>
      <c r="ER280">
        <v>75</v>
      </c>
      <c r="ES280"/>
      <c r="ET280"/>
      <c r="EU280"/>
      <c r="EV280" s="439">
        <v>553</v>
      </c>
      <c r="EW280" t="s">
        <v>1288</v>
      </c>
      <c r="EX280" t="s">
        <v>1289</v>
      </c>
      <c r="EY280" t="s">
        <v>1290</v>
      </c>
      <c r="EZ280" t="s">
        <v>54</v>
      </c>
      <c r="FA280">
        <v>55350</v>
      </c>
      <c r="FB280"/>
    </row>
    <row r="281" spans="1:158" x14ac:dyDescent="0.2">
      <c r="A281" s="439">
        <v>1699</v>
      </c>
      <c r="B281" t="s">
        <v>2382</v>
      </c>
      <c r="C281" t="s">
        <v>2340</v>
      </c>
      <c r="D281" t="s">
        <v>2341</v>
      </c>
      <c r="E281"/>
      <c r="F281"/>
      <c r="G281" t="s">
        <v>813</v>
      </c>
      <c r="H281" s="576">
        <v>53527</v>
      </c>
      <c r="I281"/>
      <c r="J281" t="s">
        <v>2341</v>
      </c>
      <c r="K281"/>
      <c r="L281" t="s">
        <v>2340</v>
      </c>
      <c r="M281" t="s">
        <v>2342</v>
      </c>
      <c r="N281" t="s">
        <v>813</v>
      </c>
      <c r="O281" s="576">
        <v>53527</v>
      </c>
      <c r="P281"/>
      <c r="Q281">
        <v>6088399050</v>
      </c>
      <c r="R281">
        <v>6088398950</v>
      </c>
      <c r="S281" t="s">
        <v>2343</v>
      </c>
      <c r="T281" t="s">
        <v>2344</v>
      </c>
      <c r="U281" t="s">
        <v>1201</v>
      </c>
      <c r="V281" t="s">
        <v>2345</v>
      </c>
      <c r="W281" t="s">
        <v>2346</v>
      </c>
      <c r="X281" t="s">
        <v>1057</v>
      </c>
      <c r="Y281" t="s">
        <v>2347</v>
      </c>
      <c r="Z281" t="s">
        <v>2348</v>
      </c>
      <c r="AA281" t="s">
        <v>2349</v>
      </c>
      <c r="AB281">
        <v>6088399050</v>
      </c>
      <c r="AC281">
        <v>1113</v>
      </c>
      <c r="AD281">
        <v>6088398950</v>
      </c>
      <c r="AE281" t="s">
        <v>2350</v>
      </c>
      <c r="AF281" t="s">
        <v>2341</v>
      </c>
      <c r="AG281"/>
      <c r="AH281" t="s">
        <v>2340</v>
      </c>
      <c r="AI281" t="s">
        <v>2342</v>
      </c>
      <c r="AJ281" t="s">
        <v>813</v>
      </c>
      <c r="AK281" s="576">
        <v>53527</v>
      </c>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c r="BR281"/>
      <c r="BS281"/>
      <c r="BT281"/>
      <c r="BU281"/>
      <c r="BV281"/>
      <c r="BW281"/>
      <c r="BX281"/>
      <c r="BY281"/>
      <c r="BZ281"/>
      <c r="CA281"/>
      <c r="CB281"/>
      <c r="CC281"/>
      <c r="CD281"/>
      <c r="CE281"/>
      <c r="CF281" t="s">
        <v>2351</v>
      </c>
      <c r="CG281" t="s">
        <v>2349</v>
      </c>
      <c r="CH281" t="s">
        <v>142</v>
      </c>
      <c r="CI281"/>
      <c r="CJ281"/>
      <c r="CK281"/>
      <c r="CL281"/>
      <c r="CM281">
        <v>1295785079</v>
      </c>
      <c r="CN281">
        <v>425</v>
      </c>
      <c r="CO281">
        <v>157</v>
      </c>
      <c r="CP281"/>
      <c r="CQ281"/>
      <c r="CR281"/>
      <c r="CS281" t="s">
        <v>788</v>
      </c>
      <c r="CT281">
        <v>12</v>
      </c>
      <c r="CU281"/>
      <c r="CV281"/>
      <c r="CW281"/>
      <c r="CX281"/>
      <c r="CY281"/>
      <c r="CZ281"/>
      <c r="DA281"/>
      <c r="DB281"/>
      <c r="DC281"/>
      <c r="DD281"/>
      <c r="DE281"/>
      <c r="DF281"/>
      <c r="DG281"/>
      <c r="DH281"/>
      <c r="DI281"/>
      <c r="DJ281"/>
      <c r="DK281"/>
      <c r="DL281"/>
      <c r="DM281"/>
      <c r="DN281"/>
      <c r="DO281"/>
      <c r="DP281"/>
      <c r="DQ281"/>
      <c r="DR281"/>
      <c r="DS281"/>
      <c r="DT281">
        <v>141</v>
      </c>
      <c r="DU281" t="s">
        <v>1854</v>
      </c>
      <c r="DV281"/>
      <c r="DW281"/>
      <c r="DX281"/>
      <c r="DY281"/>
      <c r="DZ281"/>
      <c r="EA281"/>
      <c r="EB281"/>
      <c r="EC281"/>
      <c r="ED281"/>
      <c r="EE281"/>
      <c r="EF281">
        <v>138</v>
      </c>
      <c r="EG281" t="s">
        <v>1854</v>
      </c>
      <c r="EH281"/>
      <c r="EI281"/>
      <c r="EJ281"/>
      <c r="EK281"/>
      <c r="EL281"/>
      <c r="EM281"/>
      <c r="EN281"/>
      <c r="EO281"/>
      <c r="EP281"/>
      <c r="EQ281"/>
      <c r="ER281">
        <v>75</v>
      </c>
      <c r="ES281"/>
      <c r="ET281"/>
      <c r="EU281"/>
      <c r="EV281" s="439">
        <v>1810</v>
      </c>
      <c r="EW281" t="s">
        <v>1411</v>
      </c>
      <c r="EX281" t="s">
        <v>1289</v>
      </c>
      <c r="EY281" t="s">
        <v>1412</v>
      </c>
      <c r="EZ281" t="s">
        <v>54</v>
      </c>
      <c r="FA281">
        <v>55350</v>
      </c>
      <c r="FB281">
        <v>1598710477</v>
      </c>
    </row>
    <row r="282" spans="1:158" x14ac:dyDescent="0.2">
      <c r="A282" s="439">
        <v>1438</v>
      </c>
      <c r="B282" t="s">
        <v>2383</v>
      </c>
      <c r="C282" t="s">
        <v>2340</v>
      </c>
      <c r="D282" t="s">
        <v>2341</v>
      </c>
      <c r="E282"/>
      <c r="F282"/>
      <c r="G282" t="s">
        <v>813</v>
      </c>
      <c r="H282" s="576">
        <v>53527</v>
      </c>
      <c r="I282"/>
      <c r="J282" t="s">
        <v>2341</v>
      </c>
      <c r="K282"/>
      <c r="L282" t="s">
        <v>2340</v>
      </c>
      <c r="M282" t="s">
        <v>2342</v>
      </c>
      <c r="N282" t="s">
        <v>813</v>
      </c>
      <c r="O282" s="576">
        <v>53527</v>
      </c>
      <c r="P282"/>
      <c r="Q282">
        <v>6088399050</v>
      </c>
      <c r="R282">
        <v>6088398950</v>
      </c>
      <c r="S282" t="s">
        <v>2343</v>
      </c>
      <c r="T282" t="s">
        <v>2344</v>
      </c>
      <c r="U282" t="s">
        <v>1201</v>
      </c>
      <c r="V282" t="s">
        <v>2345</v>
      </c>
      <c r="W282" t="s">
        <v>2346</v>
      </c>
      <c r="X282" t="s">
        <v>1057</v>
      </c>
      <c r="Y282" t="s">
        <v>2347</v>
      </c>
      <c r="Z282" t="s">
        <v>2348</v>
      </c>
      <c r="AA282" t="s">
        <v>2349</v>
      </c>
      <c r="AB282">
        <v>6088399050</v>
      </c>
      <c r="AC282">
        <v>1113</v>
      </c>
      <c r="AD282">
        <v>6088398950</v>
      </c>
      <c r="AE282" t="s">
        <v>2350</v>
      </c>
      <c r="AF282" t="s">
        <v>2341</v>
      </c>
      <c r="AG282"/>
      <c r="AH282" t="s">
        <v>2340</v>
      </c>
      <c r="AI282" t="s">
        <v>2342</v>
      </c>
      <c r="AJ282" t="s">
        <v>813</v>
      </c>
      <c r="AK282" s="576">
        <v>53527</v>
      </c>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c r="BR282"/>
      <c r="BS282"/>
      <c r="BT282"/>
      <c r="BU282"/>
      <c r="BV282"/>
      <c r="BW282"/>
      <c r="BX282"/>
      <c r="BY282"/>
      <c r="BZ282"/>
      <c r="CA282"/>
      <c r="CB282"/>
      <c r="CC282"/>
      <c r="CD282"/>
      <c r="CE282"/>
      <c r="CF282" t="s">
        <v>2351</v>
      </c>
      <c r="CG282" t="s">
        <v>2349</v>
      </c>
      <c r="CH282" t="s">
        <v>142</v>
      </c>
      <c r="CI282"/>
      <c r="CJ282"/>
      <c r="CK282"/>
      <c r="CL282"/>
      <c r="CM282">
        <v>1295785079</v>
      </c>
      <c r="CN282">
        <v>425</v>
      </c>
      <c r="CO282">
        <v>157</v>
      </c>
      <c r="CP282"/>
      <c r="CQ282"/>
      <c r="CR282"/>
      <c r="CS282" t="s">
        <v>788</v>
      </c>
      <c r="CT282">
        <v>12</v>
      </c>
      <c r="CU282"/>
      <c r="CV282"/>
      <c r="CW282"/>
      <c r="CX282"/>
      <c r="CY282"/>
      <c r="CZ282"/>
      <c r="DA282"/>
      <c r="DB282"/>
      <c r="DC282"/>
      <c r="DD282"/>
      <c r="DE282"/>
      <c r="DF282"/>
      <c r="DG282"/>
      <c r="DH282"/>
      <c r="DI282"/>
      <c r="DJ282"/>
      <c r="DK282"/>
      <c r="DL282"/>
      <c r="DM282"/>
      <c r="DN282"/>
      <c r="DO282"/>
      <c r="DP282"/>
      <c r="DQ282"/>
      <c r="DR282"/>
      <c r="DS282"/>
      <c r="DT282">
        <v>141</v>
      </c>
      <c r="DU282" t="s">
        <v>1854</v>
      </c>
      <c r="DV282"/>
      <c r="DW282"/>
      <c r="DX282"/>
      <c r="DY282"/>
      <c r="DZ282"/>
      <c r="EA282"/>
      <c r="EB282"/>
      <c r="EC282"/>
      <c r="ED282"/>
      <c r="EE282"/>
      <c r="EF282">
        <v>138</v>
      </c>
      <c r="EG282" t="s">
        <v>1854</v>
      </c>
      <c r="EH282"/>
      <c r="EI282"/>
      <c r="EJ282"/>
      <c r="EK282"/>
      <c r="EL282"/>
      <c r="EM282"/>
      <c r="EN282"/>
      <c r="EO282"/>
      <c r="EP282"/>
      <c r="EQ282"/>
      <c r="ER282">
        <v>75</v>
      </c>
      <c r="ES282"/>
      <c r="ET282"/>
      <c r="EU282"/>
      <c r="EV282" s="439">
        <v>62</v>
      </c>
      <c r="EW282" t="s">
        <v>2965</v>
      </c>
      <c r="EX282" t="s">
        <v>1289</v>
      </c>
      <c r="EY282" t="s">
        <v>2966</v>
      </c>
      <c r="EZ282" t="s">
        <v>54</v>
      </c>
      <c r="FA282">
        <v>55350</v>
      </c>
      <c r="FB282">
        <v>1053508820</v>
      </c>
    </row>
    <row r="283" spans="1:158" x14ac:dyDescent="0.2">
      <c r="A283" s="439">
        <v>1683</v>
      </c>
      <c r="B283" t="s">
        <v>2384</v>
      </c>
      <c r="C283" t="s">
        <v>2340</v>
      </c>
      <c r="D283" t="s">
        <v>2341</v>
      </c>
      <c r="E283"/>
      <c r="F283"/>
      <c r="G283" t="s">
        <v>813</v>
      </c>
      <c r="H283" s="576">
        <v>53527</v>
      </c>
      <c r="I283"/>
      <c r="J283" t="s">
        <v>2341</v>
      </c>
      <c r="K283"/>
      <c r="L283" t="s">
        <v>2340</v>
      </c>
      <c r="M283" t="s">
        <v>2342</v>
      </c>
      <c r="N283" t="s">
        <v>813</v>
      </c>
      <c r="O283" s="576">
        <v>53527</v>
      </c>
      <c r="P283"/>
      <c r="Q283">
        <v>6088399050</v>
      </c>
      <c r="R283">
        <v>6088398950</v>
      </c>
      <c r="S283" t="s">
        <v>2343</v>
      </c>
      <c r="T283" t="s">
        <v>2344</v>
      </c>
      <c r="U283" t="s">
        <v>1201</v>
      </c>
      <c r="V283" t="s">
        <v>2345</v>
      </c>
      <c r="W283" t="s">
        <v>2346</v>
      </c>
      <c r="X283" t="s">
        <v>1057</v>
      </c>
      <c r="Y283" t="s">
        <v>2347</v>
      </c>
      <c r="Z283" t="s">
        <v>2348</v>
      </c>
      <c r="AA283" t="s">
        <v>2349</v>
      </c>
      <c r="AB283">
        <v>6088399050</v>
      </c>
      <c r="AC283">
        <v>1113</v>
      </c>
      <c r="AD283">
        <v>6088398950</v>
      </c>
      <c r="AE283" t="s">
        <v>2350</v>
      </c>
      <c r="AF283" t="s">
        <v>2341</v>
      </c>
      <c r="AG283"/>
      <c r="AH283" t="s">
        <v>2340</v>
      </c>
      <c r="AI283" t="s">
        <v>2342</v>
      </c>
      <c r="AJ283" t="s">
        <v>813</v>
      </c>
      <c r="AK283" s="576">
        <v>53527</v>
      </c>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c r="BR283"/>
      <c r="BS283"/>
      <c r="BT283"/>
      <c r="BU283"/>
      <c r="BV283"/>
      <c r="BW283"/>
      <c r="BX283"/>
      <c r="BY283"/>
      <c r="BZ283"/>
      <c r="CA283"/>
      <c r="CB283"/>
      <c r="CC283"/>
      <c r="CD283"/>
      <c r="CE283"/>
      <c r="CF283" t="s">
        <v>2351</v>
      </c>
      <c r="CG283" t="s">
        <v>2349</v>
      </c>
      <c r="CH283" t="s">
        <v>142</v>
      </c>
      <c r="CI283"/>
      <c r="CJ283"/>
      <c r="CK283"/>
      <c r="CL283"/>
      <c r="CM283">
        <v>1295785079</v>
      </c>
      <c r="CN283">
        <v>425</v>
      </c>
      <c r="CO283">
        <v>157</v>
      </c>
      <c r="CP283"/>
      <c r="CQ283"/>
      <c r="CR283"/>
      <c r="CS283" t="s">
        <v>788</v>
      </c>
      <c r="CT283">
        <v>12</v>
      </c>
      <c r="CU283"/>
      <c r="CV283"/>
      <c r="CW283"/>
      <c r="CX283"/>
      <c r="CY283"/>
      <c r="CZ283"/>
      <c r="DA283"/>
      <c r="DB283"/>
      <c r="DC283"/>
      <c r="DD283"/>
      <c r="DE283"/>
      <c r="DF283"/>
      <c r="DG283"/>
      <c r="DH283"/>
      <c r="DI283"/>
      <c r="DJ283"/>
      <c r="DK283"/>
      <c r="DL283"/>
      <c r="DM283"/>
      <c r="DN283"/>
      <c r="DO283"/>
      <c r="DP283"/>
      <c r="DQ283"/>
      <c r="DR283"/>
      <c r="DS283"/>
      <c r="DT283"/>
      <c r="DU283"/>
      <c r="DV283">
        <v>143</v>
      </c>
      <c r="DW283" t="s">
        <v>1854</v>
      </c>
      <c r="DX283"/>
      <c r="DY283"/>
      <c r="DZ283"/>
      <c r="EA283"/>
      <c r="EB283"/>
      <c r="EC283"/>
      <c r="ED283"/>
      <c r="EE283"/>
      <c r="EF283">
        <v>138</v>
      </c>
      <c r="EG283" t="s">
        <v>1854</v>
      </c>
      <c r="EH283"/>
      <c r="EI283"/>
      <c r="EJ283"/>
      <c r="EK283"/>
      <c r="EL283"/>
      <c r="EM283"/>
      <c r="EN283"/>
      <c r="EO283"/>
      <c r="EP283"/>
      <c r="EQ283"/>
      <c r="ER283">
        <v>75</v>
      </c>
      <c r="ES283"/>
      <c r="ET283"/>
      <c r="EU283"/>
      <c r="EV283" s="439">
        <v>364</v>
      </c>
      <c r="EW283" t="s">
        <v>2967</v>
      </c>
      <c r="EX283" t="s">
        <v>1289</v>
      </c>
      <c r="EY283" t="s">
        <v>2968</v>
      </c>
      <c r="EZ283" t="s">
        <v>54</v>
      </c>
      <c r="FA283">
        <v>55350</v>
      </c>
      <c r="FB283">
        <v>1437202967</v>
      </c>
    </row>
    <row r="284" spans="1:158" x14ac:dyDescent="0.2">
      <c r="A284" s="439">
        <v>1684</v>
      </c>
      <c r="B284" t="s">
        <v>2385</v>
      </c>
      <c r="C284" t="s">
        <v>2340</v>
      </c>
      <c r="D284" t="s">
        <v>2341</v>
      </c>
      <c r="E284"/>
      <c r="F284"/>
      <c r="G284" t="s">
        <v>813</v>
      </c>
      <c r="H284" s="576">
        <v>53527</v>
      </c>
      <c r="I284"/>
      <c r="J284" t="s">
        <v>2341</v>
      </c>
      <c r="K284"/>
      <c r="L284" t="s">
        <v>2340</v>
      </c>
      <c r="M284" t="s">
        <v>2342</v>
      </c>
      <c r="N284" t="s">
        <v>813</v>
      </c>
      <c r="O284" s="576">
        <v>53527</v>
      </c>
      <c r="P284"/>
      <c r="Q284">
        <v>6088399050</v>
      </c>
      <c r="R284">
        <v>6088398950</v>
      </c>
      <c r="S284" t="s">
        <v>2343</v>
      </c>
      <c r="T284" t="s">
        <v>2344</v>
      </c>
      <c r="U284" t="s">
        <v>1201</v>
      </c>
      <c r="V284" t="s">
        <v>2345</v>
      </c>
      <c r="W284" t="s">
        <v>2346</v>
      </c>
      <c r="X284" t="s">
        <v>1057</v>
      </c>
      <c r="Y284" t="s">
        <v>2347</v>
      </c>
      <c r="Z284" t="s">
        <v>2348</v>
      </c>
      <c r="AA284" t="s">
        <v>2349</v>
      </c>
      <c r="AB284">
        <v>6088399050</v>
      </c>
      <c r="AC284">
        <v>1113</v>
      </c>
      <c r="AD284">
        <v>6088398950</v>
      </c>
      <c r="AE284" t="s">
        <v>2350</v>
      </c>
      <c r="AF284" t="s">
        <v>2341</v>
      </c>
      <c r="AG284"/>
      <c r="AH284" t="s">
        <v>2340</v>
      </c>
      <c r="AI284" t="s">
        <v>2342</v>
      </c>
      <c r="AJ284" t="s">
        <v>813</v>
      </c>
      <c r="AK284" s="576">
        <v>53527</v>
      </c>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c r="BR284"/>
      <c r="BS284"/>
      <c r="BT284"/>
      <c r="BU284"/>
      <c r="BV284"/>
      <c r="BW284"/>
      <c r="BX284"/>
      <c r="BY284"/>
      <c r="BZ284"/>
      <c r="CA284"/>
      <c r="CB284"/>
      <c r="CC284"/>
      <c r="CD284"/>
      <c r="CE284"/>
      <c r="CF284" t="s">
        <v>2351</v>
      </c>
      <c r="CG284" t="s">
        <v>2349</v>
      </c>
      <c r="CH284" t="s">
        <v>142</v>
      </c>
      <c r="CI284"/>
      <c r="CJ284"/>
      <c r="CK284"/>
      <c r="CL284"/>
      <c r="CM284">
        <v>1295785079</v>
      </c>
      <c r="CN284">
        <v>425</v>
      </c>
      <c r="CO284">
        <v>157</v>
      </c>
      <c r="CP284"/>
      <c r="CQ284"/>
      <c r="CR284"/>
      <c r="CS284" t="s">
        <v>788</v>
      </c>
      <c r="CT284">
        <v>12</v>
      </c>
      <c r="CU284"/>
      <c r="CV284"/>
      <c r="CW284"/>
      <c r="CX284"/>
      <c r="CY284"/>
      <c r="CZ284"/>
      <c r="DA284"/>
      <c r="DB284"/>
      <c r="DC284"/>
      <c r="DD284"/>
      <c r="DE284"/>
      <c r="DF284"/>
      <c r="DG284"/>
      <c r="DH284"/>
      <c r="DI284"/>
      <c r="DJ284"/>
      <c r="DK284"/>
      <c r="DL284"/>
      <c r="DM284"/>
      <c r="DN284"/>
      <c r="DO284"/>
      <c r="DP284"/>
      <c r="DQ284"/>
      <c r="DR284"/>
      <c r="DS284"/>
      <c r="DT284"/>
      <c r="DU284"/>
      <c r="DV284">
        <v>143</v>
      </c>
      <c r="DW284" t="s">
        <v>1854</v>
      </c>
      <c r="DX284"/>
      <c r="DY284"/>
      <c r="DZ284"/>
      <c r="EA284"/>
      <c r="EB284"/>
      <c r="EC284"/>
      <c r="ED284"/>
      <c r="EE284"/>
      <c r="EF284">
        <v>138</v>
      </c>
      <c r="EG284" t="s">
        <v>1854</v>
      </c>
      <c r="EH284"/>
      <c r="EI284"/>
      <c r="EJ284"/>
      <c r="EK284"/>
      <c r="EL284"/>
      <c r="EM284"/>
      <c r="EN284"/>
      <c r="EO284"/>
      <c r="EP284"/>
      <c r="EQ284"/>
      <c r="ER284">
        <v>75</v>
      </c>
      <c r="ES284"/>
      <c r="ET284"/>
      <c r="EU284"/>
      <c r="EV284" s="439">
        <v>841</v>
      </c>
      <c r="EW284" t="s">
        <v>1342</v>
      </c>
      <c r="EX284" t="s">
        <v>1343</v>
      </c>
      <c r="EY284" t="s">
        <v>1344</v>
      </c>
      <c r="EZ284" t="s">
        <v>54</v>
      </c>
      <c r="FA284">
        <v>56649</v>
      </c>
      <c r="FB284"/>
    </row>
    <row r="285" spans="1:158" x14ac:dyDescent="0.2">
      <c r="A285" s="439">
        <v>1843</v>
      </c>
      <c r="B285" t="s">
        <v>2386</v>
      </c>
      <c r="C285" t="s">
        <v>2340</v>
      </c>
      <c r="D285" t="s">
        <v>2341</v>
      </c>
      <c r="E285"/>
      <c r="F285"/>
      <c r="G285" t="s">
        <v>813</v>
      </c>
      <c r="H285" s="576">
        <v>53527</v>
      </c>
      <c r="I285"/>
      <c r="J285" t="s">
        <v>2341</v>
      </c>
      <c r="K285"/>
      <c r="L285" t="s">
        <v>2340</v>
      </c>
      <c r="M285" t="s">
        <v>2342</v>
      </c>
      <c r="N285" t="s">
        <v>813</v>
      </c>
      <c r="O285" s="576">
        <v>53527</v>
      </c>
      <c r="P285"/>
      <c r="Q285">
        <v>6088399050</v>
      </c>
      <c r="R285">
        <v>6088398950</v>
      </c>
      <c r="S285" t="s">
        <v>2343</v>
      </c>
      <c r="T285" t="s">
        <v>2344</v>
      </c>
      <c r="U285" t="s">
        <v>1201</v>
      </c>
      <c r="V285" t="s">
        <v>2345</v>
      </c>
      <c r="W285" t="s">
        <v>2346</v>
      </c>
      <c r="X285" t="s">
        <v>1057</v>
      </c>
      <c r="Y285" t="s">
        <v>2347</v>
      </c>
      <c r="Z285" t="s">
        <v>2348</v>
      </c>
      <c r="AA285" t="s">
        <v>2349</v>
      </c>
      <c r="AB285">
        <v>6088399050</v>
      </c>
      <c r="AC285">
        <v>1113</v>
      </c>
      <c r="AD285">
        <v>6088398950</v>
      </c>
      <c r="AE285" t="s">
        <v>2350</v>
      </c>
      <c r="AF285" t="s">
        <v>2341</v>
      </c>
      <c r="AG285"/>
      <c r="AH285" t="s">
        <v>2340</v>
      </c>
      <c r="AI285" t="s">
        <v>2342</v>
      </c>
      <c r="AJ285" t="s">
        <v>813</v>
      </c>
      <c r="AK285" s="576">
        <v>53527</v>
      </c>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c r="BR285"/>
      <c r="BS285"/>
      <c r="BT285"/>
      <c r="BU285"/>
      <c r="BV285"/>
      <c r="BW285"/>
      <c r="BX285"/>
      <c r="BY285"/>
      <c r="BZ285"/>
      <c r="CA285"/>
      <c r="CB285"/>
      <c r="CC285"/>
      <c r="CD285"/>
      <c r="CE285"/>
      <c r="CF285" t="s">
        <v>2351</v>
      </c>
      <c r="CG285" t="s">
        <v>2349</v>
      </c>
      <c r="CH285" t="s">
        <v>141</v>
      </c>
      <c r="CI285"/>
      <c r="CJ285"/>
      <c r="CK285"/>
      <c r="CL285"/>
      <c r="CM285"/>
      <c r="CN285">
        <v>425</v>
      </c>
      <c r="CO285">
        <v>157</v>
      </c>
      <c r="CP285"/>
      <c r="CQ285"/>
      <c r="CR285"/>
      <c r="CS285" t="s">
        <v>788</v>
      </c>
      <c r="CT285">
        <v>12</v>
      </c>
      <c r="CU285"/>
      <c r="CV285"/>
      <c r="CW285"/>
      <c r="CX285"/>
      <c r="CY285"/>
      <c r="CZ285"/>
      <c r="DA285"/>
      <c r="DB285"/>
      <c r="DC285"/>
      <c r="DD285"/>
      <c r="DE285"/>
      <c r="DF285"/>
      <c r="DG285"/>
      <c r="DH285"/>
      <c r="DI285"/>
      <c r="DJ285"/>
      <c r="DK285"/>
      <c r="DL285"/>
      <c r="DM285"/>
      <c r="DN285"/>
      <c r="DO285"/>
      <c r="DP285"/>
      <c r="DQ285"/>
      <c r="DR285"/>
      <c r="DS285"/>
      <c r="DT285">
        <v>141</v>
      </c>
      <c r="DU285" t="s">
        <v>2357</v>
      </c>
      <c r="DV285"/>
      <c r="DW285"/>
      <c r="DX285"/>
      <c r="DY285"/>
      <c r="DZ285"/>
      <c r="EA285"/>
      <c r="EB285"/>
      <c r="EC285"/>
      <c r="ED285"/>
      <c r="EE285"/>
      <c r="EF285">
        <v>138</v>
      </c>
      <c r="EG285" t="s">
        <v>2357</v>
      </c>
      <c r="EH285"/>
      <c r="EI285"/>
      <c r="EJ285"/>
      <c r="EK285"/>
      <c r="EL285"/>
      <c r="EM285"/>
      <c r="EN285"/>
      <c r="EO285"/>
      <c r="EP285"/>
      <c r="EQ285"/>
      <c r="ER285">
        <v>75</v>
      </c>
      <c r="ES285"/>
      <c r="ET285"/>
      <c r="EU285"/>
      <c r="EV285" s="439">
        <v>1266</v>
      </c>
      <c r="EW285" t="s">
        <v>1598</v>
      </c>
      <c r="EX285" t="s">
        <v>1343</v>
      </c>
      <c r="EY285" t="s">
        <v>1599</v>
      </c>
      <c r="EZ285" t="s">
        <v>54</v>
      </c>
      <c r="FA285">
        <v>56649</v>
      </c>
      <c r="FB285"/>
    </row>
    <row r="286" spans="1:158" x14ac:dyDescent="0.2">
      <c r="A286" s="439">
        <v>1842</v>
      </c>
      <c r="B286" t="s">
        <v>2387</v>
      </c>
      <c r="C286" t="s">
        <v>2340</v>
      </c>
      <c r="D286" t="s">
        <v>2341</v>
      </c>
      <c r="E286"/>
      <c r="F286"/>
      <c r="G286" t="s">
        <v>813</v>
      </c>
      <c r="H286" s="576">
        <v>53527</v>
      </c>
      <c r="I286"/>
      <c r="J286" t="s">
        <v>2341</v>
      </c>
      <c r="K286"/>
      <c r="L286" t="s">
        <v>2340</v>
      </c>
      <c r="M286" t="s">
        <v>2342</v>
      </c>
      <c r="N286" t="s">
        <v>813</v>
      </c>
      <c r="O286" s="576">
        <v>53527</v>
      </c>
      <c r="P286"/>
      <c r="Q286">
        <v>6088399050</v>
      </c>
      <c r="R286">
        <v>6088398950</v>
      </c>
      <c r="S286" t="s">
        <v>2343</v>
      </c>
      <c r="T286" t="s">
        <v>2344</v>
      </c>
      <c r="U286" t="s">
        <v>1201</v>
      </c>
      <c r="V286" t="s">
        <v>2345</v>
      </c>
      <c r="W286" t="s">
        <v>2346</v>
      </c>
      <c r="X286" t="s">
        <v>1057</v>
      </c>
      <c r="Y286" t="s">
        <v>2347</v>
      </c>
      <c r="Z286" t="s">
        <v>2348</v>
      </c>
      <c r="AA286" t="s">
        <v>2349</v>
      </c>
      <c r="AB286">
        <v>6088399050</v>
      </c>
      <c r="AC286">
        <v>1113</v>
      </c>
      <c r="AD286">
        <v>6088398950</v>
      </c>
      <c r="AE286" t="s">
        <v>2350</v>
      </c>
      <c r="AF286" t="s">
        <v>2341</v>
      </c>
      <c r="AG286"/>
      <c r="AH286" t="s">
        <v>2340</v>
      </c>
      <c r="AI286" t="s">
        <v>2342</v>
      </c>
      <c r="AJ286" t="s">
        <v>813</v>
      </c>
      <c r="AK286" s="576">
        <v>53527</v>
      </c>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c r="BR286"/>
      <c r="BS286"/>
      <c r="BT286"/>
      <c r="BU286"/>
      <c r="BV286"/>
      <c r="BW286"/>
      <c r="BX286"/>
      <c r="BY286"/>
      <c r="BZ286"/>
      <c r="CA286"/>
      <c r="CB286"/>
      <c r="CC286"/>
      <c r="CD286"/>
      <c r="CE286"/>
      <c r="CF286" t="s">
        <v>2351</v>
      </c>
      <c r="CG286" t="s">
        <v>2349</v>
      </c>
      <c r="CH286" t="s">
        <v>141</v>
      </c>
      <c r="CI286"/>
      <c r="CJ286"/>
      <c r="CK286"/>
      <c r="CL286"/>
      <c r="CM286"/>
      <c r="CN286">
        <v>425</v>
      </c>
      <c r="CO286">
        <v>157</v>
      </c>
      <c r="CP286"/>
      <c r="CQ286"/>
      <c r="CR286"/>
      <c r="CS286" t="s">
        <v>788</v>
      </c>
      <c r="CT286">
        <v>12</v>
      </c>
      <c r="CU286"/>
      <c r="CV286"/>
      <c r="CW286"/>
      <c r="CX286"/>
      <c r="CY286"/>
      <c r="CZ286"/>
      <c r="DA286"/>
      <c r="DB286"/>
      <c r="DC286"/>
      <c r="DD286"/>
      <c r="DE286"/>
      <c r="DF286"/>
      <c r="DG286"/>
      <c r="DH286"/>
      <c r="DI286"/>
      <c r="DJ286"/>
      <c r="DK286"/>
      <c r="DL286"/>
      <c r="DM286"/>
      <c r="DN286"/>
      <c r="DO286"/>
      <c r="DP286"/>
      <c r="DQ286"/>
      <c r="DR286"/>
      <c r="DS286"/>
      <c r="DT286">
        <v>141</v>
      </c>
      <c r="DU286" t="s">
        <v>2357</v>
      </c>
      <c r="DV286"/>
      <c r="DW286"/>
      <c r="DX286"/>
      <c r="DY286"/>
      <c r="DZ286"/>
      <c r="EA286"/>
      <c r="EB286"/>
      <c r="EC286"/>
      <c r="ED286"/>
      <c r="EE286"/>
      <c r="EF286">
        <v>138</v>
      </c>
      <c r="EG286" t="s">
        <v>2357</v>
      </c>
      <c r="EH286"/>
      <c r="EI286"/>
      <c r="EJ286"/>
      <c r="EK286"/>
      <c r="EL286"/>
      <c r="EM286"/>
      <c r="EN286"/>
      <c r="EO286"/>
      <c r="EP286"/>
      <c r="EQ286"/>
      <c r="ER286">
        <v>75</v>
      </c>
      <c r="ES286"/>
      <c r="ET286"/>
      <c r="EU286"/>
      <c r="EV286" s="439">
        <v>45</v>
      </c>
      <c r="EW286" t="s">
        <v>2969</v>
      </c>
      <c r="EX286" t="s">
        <v>1343</v>
      </c>
      <c r="EY286" t="s">
        <v>1344</v>
      </c>
      <c r="EZ286" t="s">
        <v>54</v>
      </c>
      <c r="FA286">
        <v>56649</v>
      </c>
      <c r="FB286">
        <v>1528041183</v>
      </c>
    </row>
    <row r="287" spans="1:158" x14ac:dyDescent="0.2">
      <c r="A287" s="439">
        <v>1689</v>
      </c>
      <c r="B287" t="s">
        <v>2388</v>
      </c>
      <c r="C287" t="s">
        <v>2340</v>
      </c>
      <c r="D287" t="s">
        <v>2341</v>
      </c>
      <c r="E287"/>
      <c r="F287"/>
      <c r="G287" t="s">
        <v>813</v>
      </c>
      <c r="H287" s="576">
        <v>53527</v>
      </c>
      <c r="I287"/>
      <c r="J287" t="s">
        <v>2341</v>
      </c>
      <c r="K287"/>
      <c r="L287" t="s">
        <v>2340</v>
      </c>
      <c r="M287" t="s">
        <v>2342</v>
      </c>
      <c r="N287" t="s">
        <v>813</v>
      </c>
      <c r="O287" s="576">
        <v>53527</v>
      </c>
      <c r="P287"/>
      <c r="Q287">
        <v>6088399050</v>
      </c>
      <c r="R287">
        <v>6088398950</v>
      </c>
      <c r="S287" t="s">
        <v>2343</v>
      </c>
      <c r="T287" t="s">
        <v>2344</v>
      </c>
      <c r="U287" t="s">
        <v>1201</v>
      </c>
      <c r="V287" t="s">
        <v>2345</v>
      </c>
      <c r="W287" t="s">
        <v>2346</v>
      </c>
      <c r="X287" t="s">
        <v>1057</v>
      </c>
      <c r="Y287" t="s">
        <v>2347</v>
      </c>
      <c r="Z287" t="s">
        <v>2348</v>
      </c>
      <c r="AA287" t="s">
        <v>2349</v>
      </c>
      <c r="AB287">
        <v>6088399050</v>
      </c>
      <c r="AC287">
        <v>1113</v>
      </c>
      <c r="AD287">
        <v>6088398950</v>
      </c>
      <c r="AE287" t="s">
        <v>2350</v>
      </c>
      <c r="AF287" t="s">
        <v>2341</v>
      </c>
      <c r="AG287"/>
      <c r="AH287" t="s">
        <v>2340</v>
      </c>
      <c r="AI287" t="s">
        <v>2342</v>
      </c>
      <c r="AJ287" t="s">
        <v>813</v>
      </c>
      <c r="AK287" s="576">
        <v>53527</v>
      </c>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c r="BR287"/>
      <c r="BS287"/>
      <c r="BT287"/>
      <c r="BU287"/>
      <c r="BV287"/>
      <c r="BW287"/>
      <c r="BX287"/>
      <c r="BY287"/>
      <c r="BZ287"/>
      <c r="CA287"/>
      <c r="CB287"/>
      <c r="CC287"/>
      <c r="CD287"/>
      <c r="CE287"/>
      <c r="CF287" t="s">
        <v>2351</v>
      </c>
      <c r="CG287" t="s">
        <v>2349</v>
      </c>
      <c r="CH287" t="s">
        <v>142</v>
      </c>
      <c r="CI287"/>
      <c r="CJ287"/>
      <c r="CK287"/>
      <c r="CL287"/>
      <c r="CM287">
        <v>1295785079</v>
      </c>
      <c r="CN287">
        <v>425</v>
      </c>
      <c r="CO287">
        <v>157</v>
      </c>
      <c r="CP287"/>
      <c r="CQ287"/>
      <c r="CR287"/>
      <c r="CS287" t="s">
        <v>788</v>
      </c>
      <c r="CT287">
        <v>12</v>
      </c>
      <c r="CU287"/>
      <c r="CV287"/>
      <c r="CW287"/>
      <c r="CX287"/>
      <c r="CY287"/>
      <c r="CZ287"/>
      <c r="DA287"/>
      <c r="DB287"/>
      <c r="DC287"/>
      <c r="DD287"/>
      <c r="DE287"/>
      <c r="DF287"/>
      <c r="DG287"/>
      <c r="DH287"/>
      <c r="DI287"/>
      <c r="DJ287"/>
      <c r="DK287"/>
      <c r="DL287"/>
      <c r="DM287"/>
      <c r="DN287"/>
      <c r="DO287"/>
      <c r="DP287"/>
      <c r="DQ287"/>
      <c r="DR287"/>
      <c r="DS287"/>
      <c r="DT287"/>
      <c r="DU287"/>
      <c r="DV287"/>
      <c r="DW287"/>
      <c r="DX287">
        <v>135</v>
      </c>
      <c r="DY287" t="s">
        <v>1854</v>
      </c>
      <c r="DZ287"/>
      <c r="EA287"/>
      <c r="EB287"/>
      <c r="EC287"/>
      <c r="ED287"/>
      <c r="EE287"/>
      <c r="EF287">
        <v>138</v>
      </c>
      <c r="EG287" t="s">
        <v>1854</v>
      </c>
      <c r="EH287"/>
      <c r="EI287"/>
      <c r="EJ287"/>
      <c r="EK287"/>
      <c r="EL287"/>
      <c r="EM287"/>
      <c r="EN287"/>
      <c r="EO287"/>
      <c r="EP287"/>
      <c r="EQ287"/>
      <c r="ER287">
        <v>75</v>
      </c>
      <c r="ES287"/>
      <c r="ET287"/>
      <c r="EU287"/>
      <c r="EV287" s="439">
        <v>1023</v>
      </c>
      <c r="EW287" t="s">
        <v>1003</v>
      </c>
      <c r="EX287" t="s">
        <v>1004</v>
      </c>
      <c r="EY287" t="s">
        <v>1005</v>
      </c>
      <c r="EZ287" t="s">
        <v>54</v>
      </c>
      <c r="FA287">
        <v>55076</v>
      </c>
      <c r="FB287">
        <v>1578807491</v>
      </c>
    </row>
    <row r="288" spans="1:158" x14ac:dyDescent="0.2">
      <c r="A288" s="439">
        <v>1346</v>
      </c>
      <c r="B288" t="s">
        <v>2389</v>
      </c>
      <c r="C288" t="s">
        <v>2130</v>
      </c>
      <c r="D288" t="s">
        <v>2390</v>
      </c>
      <c r="E288" t="s">
        <v>749</v>
      </c>
      <c r="F288"/>
      <c r="G288" t="s">
        <v>54</v>
      </c>
      <c r="H288" s="576">
        <v>56601</v>
      </c>
      <c r="I288" t="s">
        <v>749</v>
      </c>
      <c r="J288" t="s">
        <v>2390</v>
      </c>
      <c r="K288"/>
      <c r="L288" t="s">
        <v>2130</v>
      </c>
      <c r="M288" t="s">
        <v>2132</v>
      </c>
      <c r="N288" t="s">
        <v>54</v>
      </c>
      <c r="O288" s="576">
        <v>56601</v>
      </c>
      <c r="P288"/>
      <c r="Q288">
        <v>2184444130</v>
      </c>
      <c r="R288">
        <v>2183330201</v>
      </c>
      <c r="S288" t="s">
        <v>2391</v>
      </c>
      <c r="T288" t="s">
        <v>2392</v>
      </c>
      <c r="U288" t="s">
        <v>2393</v>
      </c>
      <c r="V288" t="s">
        <v>2394</v>
      </c>
      <c r="W288" t="s">
        <v>2395</v>
      </c>
      <c r="X288" t="s">
        <v>2396</v>
      </c>
      <c r="Y288" t="s">
        <v>2397</v>
      </c>
      <c r="Z288" t="s">
        <v>2398</v>
      </c>
      <c r="AA288" t="s">
        <v>2399</v>
      </c>
      <c r="AB288">
        <v>2184444130</v>
      </c>
      <c r="AC288"/>
      <c r="AD288">
        <v>2183330201</v>
      </c>
      <c r="AE288" t="s">
        <v>2400</v>
      </c>
      <c r="AF288" t="s">
        <v>2390</v>
      </c>
      <c r="AG288"/>
      <c r="AH288" t="s">
        <v>2130</v>
      </c>
      <c r="AI288" t="s">
        <v>2132</v>
      </c>
      <c r="AJ288" t="s">
        <v>54</v>
      </c>
      <c r="AK288" s="576">
        <v>56601</v>
      </c>
      <c r="AL288"/>
      <c r="AM288" t="s">
        <v>2391</v>
      </c>
      <c r="AN288" t="s">
        <v>2392</v>
      </c>
      <c r="AO288" t="s">
        <v>2401</v>
      </c>
      <c r="AP288" t="s">
        <v>2399</v>
      </c>
      <c r="AQ288">
        <v>8003527254</v>
      </c>
      <c r="AR288"/>
      <c r="AS288">
        <v>7152347394</v>
      </c>
      <c r="AT288" t="s">
        <v>2394</v>
      </c>
      <c r="AU288" t="s">
        <v>2402</v>
      </c>
      <c r="AV288"/>
      <c r="AW288" t="s">
        <v>2403</v>
      </c>
      <c r="AX288" t="s">
        <v>2404</v>
      </c>
      <c r="AY288" t="s">
        <v>813</v>
      </c>
      <c r="AZ288" s="576">
        <v>54868</v>
      </c>
      <c r="BA288"/>
      <c r="BB288"/>
      <c r="BC288"/>
      <c r="BD288"/>
      <c r="BE288"/>
      <c r="BF288"/>
      <c r="BG288"/>
      <c r="BH288"/>
      <c r="BI288"/>
      <c r="BJ288"/>
      <c r="BK288"/>
      <c r="BL288"/>
      <c r="BM288"/>
      <c r="BN288"/>
      <c r="BO288"/>
      <c r="BP288"/>
      <c r="BQ288"/>
      <c r="BR288"/>
      <c r="BS288"/>
      <c r="BT288"/>
      <c r="BU288"/>
      <c r="BV288"/>
      <c r="BW288"/>
      <c r="BX288"/>
      <c r="BY288"/>
      <c r="BZ288"/>
      <c r="CA288"/>
      <c r="CB288"/>
      <c r="CC288"/>
      <c r="CD288"/>
      <c r="CE288"/>
      <c r="CF288" t="s">
        <v>2405</v>
      </c>
      <c r="CG288" t="s">
        <v>2406</v>
      </c>
      <c r="CH288" t="s">
        <v>141</v>
      </c>
      <c r="CI288"/>
      <c r="CJ288"/>
      <c r="CK288"/>
      <c r="CL288"/>
      <c r="CM288">
        <v>1679528194</v>
      </c>
      <c r="CN288">
        <v>178</v>
      </c>
      <c r="CO288">
        <v>164</v>
      </c>
      <c r="CP288">
        <v>146</v>
      </c>
      <c r="CQ288"/>
      <c r="CR288"/>
      <c r="CS288" t="s">
        <v>788</v>
      </c>
      <c r="CT288">
        <v>12</v>
      </c>
      <c r="CU288"/>
      <c r="CV288"/>
      <c r="CW288"/>
      <c r="CX288" t="s">
        <v>749</v>
      </c>
      <c r="CY288"/>
      <c r="CZ288" t="s">
        <v>749</v>
      </c>
      <c r="DA288" t="s">
        <v>749</v>
      </c>
      <c r="DB288" t="s">
        <v>749</v>
      </c>
      <c r="DC288" t="s">
        <v>749</v>
      </c>
      <c r="DD288"/>
      <c r="DE288"/>
      <c r="DF288"/>
      <c r="DG288"/>
      <c r="DH288"/>
      <c r="DI288"/>
      <c r="DJ288"/>
      <c r="DK288"/>
      <c r="DL288"/>
      <c r="DM288"/>
      <c r="DN288"/>
      <c r="DO288"/>
      <c r="DP288"/>
      <c r="DQ288"/>
      <c r="DR288"/>
      <c r="DS288"/>
      <c r="DT288"/>
      <c r="DU288"/>
      <c r="DV288"/>
      <c r="DW288"/>
      <c r="DX288"/>
      <c r="DY288"/>
      <c r="DZ288"/>
      <c r="EA288"/>
      <c r="EB288"/>
      <c r="EC288"/>
      <c r="ED288"/>
      <c r="EE288"/>
      <c r="EF288"/>
      <c r="EG288"/>
      <c r="EH288"/>
      <c r="EI288"/>
      <c r="EJ288"/>
      <c r="EK288"/>
      <c r="EL288"/>
      <c r="EM288"/>
      <c r="EN288"/>
      <c r="EO288"/>
      <c r="EP288"/>
      <c r="EQ288"/>
      <c r="ER288">
        <v>83</v>
      </c>
      <c r="ES288"/>
      <c r="ET288"/>
      <c r="EU288"/>
      <c r="EV288" s="439">
        <v>65</v>
      </c>
      <c r="EW288" t="s">
        <v>2970</v>
      </c>
      <c r="EX288" t="s">
        <v>2971</v>
      </c>
      <c r="EY288" t="s">
        <v>2972</v>
      </c>
      <c r="EZ288" t="s">
        <v>54</v>
      </c>
      <c r="FA288">
        <v>56143</v>
      </c>
      <c r="FB288">
        <v>1326069097</v>
      </c>
    </row>
    <row r="289" spans="1:158" x14ac:dyDescent="0.2">
      <c r="A289" s="439">
        <v>759</v>
      </c>
      <c r="B289" t="s">
        <v>2407</v>
      </c>
      <c r="C289" t="s">
        <v>976</v>
      </c>
      <c r="D289" t="s">
        <v>2408</v>
      </c>
      <c r="E289"/>
      <c r="F289" t="s">
        <v>979</v>
      </c>
      <c r="G289" t="s">
        <v>54</v>
      </c>
      <c r="H289" s="576">
        <v>56716</v>
      </c>
      <c r="I289"/>
      <c r="J289" t="s">
        <v>2390</v>
      </c>
      <c r="K289"/>
      <c r="L289" t="s">
        <v>2130</v>
      </c>
      <c r="M289" t="s">
        <v>2132</v>
      </c>
      <c r="N289" t="s">
        <v>54</v>
      </c>
      <c r="O289" s="576">
        <v>56601</v>
      </c>
      <c r="P289"/>
      <c r="Q289">
        <v>2184444130</v>
      </c>
      <c r="R289">
        <v>2183330201</v>
      </c>
      <c r="S289" t="s">
        <v>2391</v>
      </c>
      <c r="T289" t="s">
        <v>2392</v>
      </c>
      <c r="U289" t="s">
        <v>2393</v>
      </c>
      <c r="V289" t="s">
        <v>2394</v>
      </c>
      <c r="W289" t="s">
        <v>2395</v>
      </c>
      <c r="X289" t="s">
        <v>2396</v>
      </c>
      <c r="Y289" t="s">
        <v>2397</v>
      </c>
      <c r="Z289" t="s">
        <v>2398</v>
      </c>
      <c r="AA289" t="s">
        <v>2399</v>
      </c>
      <c r="AB289">
        <v>2184444130</v>
      </c>
      <c r="AC289"/>
      <c r="AD289">
        <v>2183330201</v>
      </c>
      <c r="AE289" t="s">
        <v>2400</v>
      </c>
      <c r="AF289" t="s">
        <v>2390</v>
      </c>
      <c r="AG289"/>
      <c r="AH289" t="s">
        <v>2130</v>
      </c>
      <c r="AI289" t="s">
        <v>2132</v>
      </c>
      <c r="AJ289" t="s">
        <v>54</v>
      </c>
      <c r="AK289" s="576">
        <v>56601</v>
      </c>
      <c r="AL289"/>
      <c r="AM289" t="s">
        <v>2391</v>
      </c>
      <c r="AN289" t="s">
        <v>2392</v>
      </c>
      <c r="AO289" t="s">
        <v>2401</v>
      </c>
      <c r="AP289" t="s">
        <v>2399</v>
      </c>
      <c r="AQ289">
        <v>8003527254</v>
      </c>
      <c r="AR289"/>
      <c r="AS289">
        <v>7152347394</v>
      </c>
      <c r="AT289" t="s">
        <v>2394</v>
      </c>
      <c r="AU289" t="s">
        <v>2402</v>
      </c>
      <c r="AV289"/>
      <c r="AW289" t="s">
        <v>2403</v>
      </c>
      <c r="AX289" t="s">
        <v>2404</v>
      </c>
      <c r="AY289" t="s">
        <v>813</v>
      </c>
      <c r="AZ289" s="576">
        <v>54868</v>
      </c>
      <c r="BA289"/>
      <c r="BB289"/>
      <c r="BC289"/>
      <c r="BD289"/>
      <c r="BE289"/>
      <c r="BF289"/>
      <c r="BG289"/>
      <c r="BH289"/>
      <c r="BI289"/>
      <c r="BJ289"/>
      <c r="BK289"/>
      <c r="BL289"/>
      <c r="BM289"/>
      <c r="BN289"/>
      <c r="BO289"/>
      <c r="BP289"/>
      <c r="BQ289"/>
      <c r="BR289"/>
      <c r="BS289"/>
      <c r="BT289"/>
      <c r="BU289"/>
      <c r="BV289"/>
      <c r="BW289"/>
      <c r="BX289"/>
      <c r="BY289"/>
      <c r="BZ289"/>
      <c r="CA289"/>
      <c r="CB289"/>
      <c r="CC289"/>
      <c r="CD289"/>
      <c r="CE289"/>
      <c r="CF289" t="s">
        <v>2405</v>
      </c>
      <c r="CG289" t="s">
        <v>2406</v>
      </c>
      <c r="CH289" t="s">
        <v>141</v>
      </c>
      <c r="CI289"/>
      <c r="CJ289"/>
      <c r="CK289"/>
      <c r="CL289"/>
      <c r="CM289">
        <v>1679528194</v>
      </c>
      <c r="CN289">
        <v>178</v>
      </c>
      <c r="CO289">
        <v>164</v>
      </c>
      <c r="CP289">
        <v>146</v>
      </c>
      <c r="CQ289"/>
      <c r="CR289"/>
      <c r="CS289" t="s">
        <v>788</v>
      </c>
      <c r="CT289">
        <v>12</v>
      </c>
      <c r="CU289"/>
      <c r="CV289"/>
      <c r="CW289"/>
      <c r="CX289"/>
      <c r="CY289"/>
      <c r="CZ289"/>
      <c r="DA289"/>
      <c r="DB289"/>
      <c r="DC289"/>
      <c r="DD289"/>
      <c r="DE289"/>
      <c r="DF289"/>
      <c r="DG289"/>
      <c r="DH289"/>
      <c r="DI289"/>
      <c r="DJ289"/>
      <c r="DK289"/>
      <c r="DL289"/>
      <c r="DM289"/>
      <c r="DN289"/>
      <c r="DO289"/>
      <c r="DP289"/>
      <c r="DQ289"/>
      <c r="DR289"/>
      <c r="DS289"/>
      <c r="DT289"/>
      <c r="DU289"/>
      <c r="DV289"/>
      <c r="DW289"/>
      <c r="DX289"/>
      <c r="DY289"/>
      <c r="DZ289"/>
      <c r="EA289"/>
      <c r="EB289"/>
      <c r="EC289"/>
      <c r="ED289"/>
      <c r="EE289"/>
      <c r="EF289"/>
      <c r="EG289"/>
      <c r="EH289"/>
      <c r="EI289"/>
      <c r="EJ289"/>
      <c r="EK289"/>
      <c r="EL289"/>
      <c r="EM289"/>
      <c r="EN289"/>
      <c r="EO289"/>
      <c r="EP289"/>
      <c r="EQ289"/>
      <c r="ER289">
        <v>83</v>
      </c>
      <c r="ES289"/>
      <c r="ET289"/>
      <c r="EU289"/>
      <c r="EV289" s="439">
        <v>70</v>
      </c>
      <c r="EW289" t="s">
        <v>2973</v>
      </c>
      <c r="EX289" t="s">
        <v>2974</v>
      </c>
      <c r="EY289" t="s">
        <v>2975</v>
      </c>
      <c r="EZ289" t="s">
        <v>54</v>
      </c>
      <c r="FA289">
        <v>55041</v>
      </c>
      <c r="FB289">
        <v>1538113022</v>
      </c>
    </row>
    <row r="290" spans="1:158" x14ac:dyDescent="0.2">
      <c r="A290" s="439">
        <v>761</v>
      </c>
      <c r="B290" t="s">
        <v>2409</v>
      </c>
      <c r="C290" t="s">
        <v>1300</v>
      </c>
      <c r="D290" t="s">
        <v>1301</v>
      </c>
      <c r="E290"/>
      <c r="F290" t="s">
        <v>1300</v>
      </c>
      <c r="G290" t="s">
        <v>54</v>
      </c>
      <c r="H290" s="576">
        <v>56726</v>
      </c>
      <c r="I290"/>
      <c r="J290" t="s">
        <v>2390</v>
      </c>
      <c r="K290"/>
      <c r="L290" t="s">
        <v>2130</v>
      </c>
      <c r="M290" t="s">
        <v>2132</v>
      </c>
      <c r="N290" t="s">
        <v>54</v>
      </c>
      <c r="O290" s="576">
        <v>56601</v>
      </c>
      <c r="P290"/>
      <c r="Q290">
        <v>2184444130</v>
      </c>
      <c r="R290">
        <v>2183330201</v>
      </c>
      <c r="S290" t="s">
        <v>2391</v>
      </c>
      <c r="T290" t="s">
        <v>2392</v>
      </c>
      <c r="U290" t="s">
        <v>2393</v>
      </c>
      <c r="V290" t="s">
        <v>2394</v>
      </c>
      <c r="W290" t="s">
        <v>2395</v>
      </c>
      <c r="X290" t="s">
        <v>2396</v>
      </c>
      <c r="Y290" t="s">
        <v>2397</v>
      </c>
      <c r="Z290" t="s">
        <v>2398</v>
      </c>
      <c r="AA290" t="s">
        <v>2399</v>
      </c>
      <c r="AB290">
        <v>2184444130</v>
      </c>
      <c r="AC290"/>
      <c r="AD290">
        <v>2183330201</v>
      </c>
      <c r="AE290" t="s">
        <v>2400</v>
      </c>
      <c r="AF290" t="s">
        <v>2390</v>
      </c>
      <c r="AG290"/>
      <c r="AH290" t="s">
        <v>2130</v>
      </c>
      <c r="AI290" t="s">
        <v>2132</v>
      </c>
      <c r="AJ290" t="s">
        <v>54</v>
      </c>
      <c r="AK290" s="576">
        <v>56601</v>
      </c>
      <c r="AL290"/>
      <c r="AM290" t="s">
        <v>2391</v>
      </c>
      <c r="AN290" t="s">
        <v>2392</v>
      </c>
      <c r="AO290" t="s">
        <v>2401</v>
      </c>
      <c r="AP290" t="s">
        <v>2399</v>
      </c>
      <c r="AQ290">
        <v>8003527254</v>
      </c>
      <c r="AR290"/>
      <c r="AS290">
        <v>7152347394</v>
      </c>
      <c r="AT290" t="s">
        <v>2394</v>
      </c>
      <c r="AU290" t="s">
        <v>2402</v>
      </c>
      <c r="AV290"/>
      <c r="AW290" t="s">
        <v>2403</v>
      </c>
      <c r="AX290" t="s">
        <v>2404</v>
      </c>
      <c r="AY290" t="s">
        <v>813</v>
      </c>
      <c r="AZ290" s="576">
        <v>54868</v>
      </c>
      <c r="BA290"/>
      <c r="BB290"/>
      <c r="BC290"/>
      <c r="BD290"/>
      <c r="BE290"/>
      <c r="BF290"/>
      <c r="BG290"/>
      <c r="BH290"/>
      <c r="BI290"/>
      <c r="BJ290"/>
      <c r="BK290"/>
      <c r="BL290"/>
      <c r="BM290"/>
      <c r="BN290"/>
      <c r="BO290"/>
      <c r="BP290"/>
      <c r="BQ290"/>
      <c r="BR290"/>
      <c r="BS290"/>
      <c r="BT290"/>
      <c r="BU290"/>
      <c r="BV290"/>
      <c r="BW290"/>
      <c r="BX290"/>
      <c r="BY290"/>
      <c r="BZ290"/>
      <c r="CA290"/>
      <c r="CB290"/>
      <c r="CC290"/>
      <c r="CD290"/>
      <c r="CE290"/>
      <c r="CF290" t="s">
        <v>2405</v>
      </c>
      <c r="CG290" t="s">
        <v>2406</v>
      </c>
      <c r="CH290" t="s">
        <v>141</v>
      </c>
      <c r="CI290"/>
      <c r="CJ290"/>
      <c r="CK290"/>
      <c r="CL290"/>
      <c r="CM290">
        <v>1679528194</v>
      </c>
      <c r="CN290">
        <v>178</v>
      </c>
      <c r="CO290">
        <v>164</v>
      </c>
      <c r="CP290">
        <v>146</v>
      </c>
      <c r="CQ290"/>
      <c r="CR290"/>
      <c r="CS290" t="s">
        <v>788</v>
      </c>
      <c r="CT290">
        <v>12</v>
      </c>
      <c r="CU290"/>
      <c r="CV290"/>
      <c r="CW290"/>
      <c r="CX290"/>
      <c r="CY290"/>
      <c r="CZ290"/>
      <c r="DA290"/>
      <c r="DB290"/>
      <c r="DC290"/>
      <c r="DD290"/>
      <c r="DE290"/>
      <c r="DF290"/>
      <c r="DG290"/>
      <c r="DH290"/>
      <c r="DI290"/>
      <c r="DJ290"/>
      <c r="DK290"/>
      <c r="DL290"/>
      <c r="DM290"/>
      <c r="DN290"/>
      <c r="DO290"/>
      <c r="DP290"/>
      <c r="DQ290"/>
      <c r="DR290"/>
      <c r="DS290"/>
      <c r="DT290"/>
      <c r="DU290"/>
      <c r="DV290"/>
      <c r="DW290"/>
      <c r="DX290"/>
      <c r="DY290"/>
      <c r="DZ290"/>
      <c r="EA290"/>
      <c r="EB290"/>
      <c r="EC290"/>
      <c r="ED290"/>
      <c r="EE290"/>
      <c r="EF290"/>
      <c r="EG290"/>
      <c r="EH290"/>
      <c r="EI290"/>
      <c r="EJ290"/>
      <c r="EK290"/>
      <c r="EL290"/>
      <c r="EM290"/>
      <c r="EN290"/>
      <c r="EO290"/>
      <c r="EP290"/>
      <c r="EQ290"/>
      <c r="ER290">
        <v>83</v>
      </c>
      <c r="ES290"/>
      <c r="ET290"/>
      <c r="EU290"/>
      <c r="EV290" s="439">
        <v>314</v>
      </c>
      <c r="EW290" t="s">
        <v>2976</v>
      </c>
      <c r="EX290" t="s">
        <v>2056</v>
      </c>
      <c r="EY290" t="s">
        <v>2977</v>
      </c>
      <c r="EZ290" t="s">
        <v>54</v>
      </c>
      <c r="FA290">
        <v>55042</v>
      </c>
      <c r="FB290">
        <v>1902805278</v>
      </c>
    </row>
    <row r="291" spans="1:158" x14ac:dyDescent="0.2">
      <c r="A291" s="439">
        <v>763</v>
      </c>
      <c r="B291" t="s">
        <v>2410</v>
      </c>
      <c r="C291" t="s">
        <v>2411</v>
      </c>
      <c r="D291" t="s">
        <v>2412</v>
      </c>
      <c r="E291"/>
      <c r="F291" t="s">
        <v>2413</v>
      </c>
      <c r="G291" t="s">
        <v>54</v>
      </c>
      <c r="H291" s="576">
        <v>56701</v>
      </c>
      <c r="I291"/>
      <c r="J291" t="s">
        <v>2390</v>
      </c>
      <c r="K291"/>
      <c r="L291" t="s">
        <v>2130</v>
      </c>
      <c r="M291" t="s">
        <v>2132</v>
      </c>
      <c r="N291" t="s">
        <v>54</v>
      </c>
      <c r="O291" s="576">
        <v>56601</v>
      </c>
      <c r="P291"/>
      <c r="Q291">
        <v>2186832000</v>
      </c>
      <c r="R291">
        <v>2186832611</v>
      </c>
      <c r="S291" t="s">
        <v>2391</v>
      </c>
      <c r="T291" t="s">
        <v>2392</v>
      </c>
      <c r="U291" t="s">
        <v>2393</v>
      </c>
      <c r="V291" t="s">
        <v>2394</v>
      </c>
      <c r="W291" t="s">
        <v>2395</v>
      </c>
      <c r="X291" t="s">
        <v>2396</v>
      </c>
      <c r="Y291" t="s">
        <v>2397</v>
      </c>
      <c r="Z291" t="s">
        <v>2398</v>
      </c>
      <c r="AA291" t="s">
        <v>2399</v>
      </c>
      <c r="AB291">
        <v>2184444130</v>
      </c>
      <c r="AC291"/>
      <c r="AD291">
        <v>2183330201</v>
      </c>
      <c r="AE291" t="s">
        <v>2400</v>
      </c>
      <c r="AF291" t="s">
        <v>2390</v>
      </c>
      <c r="AG291"/>
      <c r="AH291" t="s">
        <v>2130</v>
      </c>
      <c r="AI291" t="s">
        <v>2132</v>
      </c>
      <c r="AJ291" t="s">
        <v>54</v>
      </c>
      <c r="AK291" s="576">
        <v>56601</v>
      </c>
      <c r="AL291"/>
      <c r="AM291" t="s">
        <v>2391</v>
      </c>
      <c r="AN291" t="s">
        <v>2392</v>
      </c>
      <c r="AO291" t="s">
        <v>2401</v>
      </c>
      <c r="AP291" t="s">
        <v>2399</v>
      </c>
      <c r="AQ291">
        <v>8003527254</v>
      </c>
      <c r="AR291"/>
      <c r="AS291">
        <v>7152347394</v>
      </c>
      <c r="AT291" t="s">
        <v>2394</v>
      </c>
      <c r="AU291" t="s">
        <v>2402</v>
      </c>
      <c r="AV291"/>
      <c r="AW291" t="s">
        <v>2403</v>
      </c>
      <c r="AX291" t="s">
        <v>2404</v>
      </c>
      <c r="AY291" t="s">
        <v>813</v>
      </c>
      <c r="AZ291" s="576">
        <v>54868</v>
      </c>
      <c r="BA291"/>
      <c r="BB291"/>
      <c r="BC291"/>
      <c r="BD291"/>
      <c r="BE291"/>
      <c r="BF291"/>
      <c r="BG291"/>
      <c r="BH291"/>
      <c r="BI291"/>
      <c r="BJ291"/>
      <c r="BK291"/>
      <c r="BL291"/>
      <c r="BM291"/>
      <c r="BN291"/>
      <c r="BO291"/>
      <c r="BP291"/>
      <c r="BQ291"/>
      <c r="BR291"/>
      <c r="BS291"/>
      <c r="BT291"/>
      <c r="BU291"/>
      <c r="BV291"/>
      <c r="BW291"/>
      <c r="BX291"/>
      <c r="BY291"/>
      <c r="BZ291"/>
      <c r="CA291"/>
      <c r="CB291"/>
      <c r="CC291"/>
      <c r="CD291"/>
      <c r="CE291"/>
      <c r="CF291" t="s">
        <v>2405</v>
      </c>
      <c r="CG291" t="s">
        <v>2406</v>
      </c>
      <c r="CH291" t="s">
        <v>141</v>
      </c>
      <c r="CI291"/>
      <c r="CJ291"/>
      <c r="CK291"/>
      <c r="CL291"/>
      <c r="CM291">
        <v>1679528194</v>
      </c>
      <c r="CN291">
        <v>178</v>
      </c>
      <c r="CO291">
        <v>164</v>
      </c>
      <c r="CP291">
        <v>146</v>
      </c>
      <c r="CQ291"/>
      <c r="CR291"/>
      <c r="CS291" t="s">
        <v>788</v>
      </c>
      <c r="CT291">
        <v>12</v>
      </c>
      <c r="CU291"/>
      <c r="CV291"/>
      <c r="CW291"/>
      <c r="CX291"/>
      <c r="CY291"/>
      <c r="CZ291"/>
      <c r="DA291"/>
      <c r="DB291"/>
      <c r="DC291"/>
      <c r="DD291"/>
      <c r="DE291"/>
      <c r="DF291"/>
      <c r="DG291"/>
      <c r="DH291"/>
      <c r="DI291"/>
      <c r="DJ291"/>
      <c r="DK291"/>
      <c r="DL291"/>
      <c r="DM291"/>
      <c r="DN291"/>
      <c r="DO291"/>
      <c r="DP291"/>
      <c r="DQ291"/>
      <c r="DR291"/>
      <c r="DS291"/>
      <c r="DT291"/>
      <c r="DU291"/>
      <c r="DV291"/>
      <c r="DW291"/>
      <c r="DX291"/>
      <c r="DY291"/>
      <c r="DZ291"/>
      <c r="EA291"/>
      <c r="EB291"/>
      <c r="EC291"/>
      <c r="ED291"/>
      <c r="EE291"/>
      <c r="EF291"/>
      <c r="EG291"/>
      <c r="EH291"/>
      <c r="EI291"/>
      <c r="EJ291"/>
      <c r="EK291"/>
      <c r="EL291"/>
      <c r="EM291"/>
      <c r="EN291"/>
      <c r="EO291"/>
      <c r="EP291"/>
      <c r="EQ291"/>
      <c r="ER291">
        <v>83</v>
      </c>
      <c r="ES291"/>
      <c r="ET291"/>
      <c r="EU291"/>
      <c r="EV291" s="439">
        <v>1205</v>
      </c>
      <c r="EW291" t="s">
        <v>2040</v>
      </c>
      <c r="EX291" t="s">
        <v>2056</v>
      </c>
      <c r="EY291" t="s">
        <v>2057</v>
      </c>
      <c r="EZ291" t="s">
        <v>54</v>
      </c>
      <c r="FA291">
        <v>55042</v>
      </c>
      <c r="FB291">
        <v>1710098306</v>
      </c>
    </row>
    <row r="292" spans="1:158" x14ac:dyDescent="0.2">
      <c r="A292" s="439">
        <v>762</v>
      </c>
      <c r="B292" t="s">
        <v>2414</v>
      </c>
      <c r="C292" t="s">
        <v>2130</v>
      </c>
      <c r="D292" t="s">
        <v>2390</v>
      </c>
      <c r="E292"/>
      <c r="F292" t="s">
        <v>2132</v>
      </c>
      <c r="G292" t="s">
        <v>54</v>
      </c>
      <c r="H292" s="576">
        <v>56601</v>
      </c>
      <c r="I292"/>
      <c r="J292" t="s">
        <v>2390</v>
      </c>
      <c r="K292"/>
      <c r="L292" t="s">
        <v>2130</v>
      </c>
      <c r="M292" t="s">
        <v>2132</v>
      </c>
      <c r="N292" t="s">
        <v>54</v>
      </c>
      <c r="O292" s="576">
        <v>56601</v>
      </c>
      <c r="P292"/>
      <c r="Q292">
        <v>2184444130</v>
      </c>
      <c r="R292">
        <v>2183330201</v>
      </c>
      <c r="S292" t="s">
        <v>2391</v>
      </c>
      <c r="T292" t="s">
        <v>2392</v>
      </c>
      <c r="U292" t="s">
        <v>2393</v>
      </c>
      <c r="V292" t="s">
        <v>2394</v>
      </c>
      <c r="W292" t="s">
        <v>2395</v>
      </c>
      <c r="X292" t="s">
        <v>2396</v>
      </c>
      <c r="Y292" t="s">
        <v>2397</v>
      </c>
      <c r="Z292" t="s">
        <v>2398</v>
      </c>
      <c r="AA292" t="s">
        <v>2399</v>
      </c>
      <c r="AB292">
        <v>2184444130</v>
      </c>
      <c r="AC292"/>
      <c r="AD292">
        <v>2183330201</v>
      </c>
      <c r="AE292" t="s">
        <v>2400</v>
      </c>
      <c r="AF292" t="s">
        <v>2390</v>
      </c>
      <c r="AG292"/>
      <c r="AH292" t="s">
        <v>2130</v>
      </c>
      <c r="AI292" t="s">
        <v>2132</v>
      </c>
      <c r="AJ292" t="s">
        <v>54</v>
      </c>
      <c r="AK292" s="576">
        <v>56601</v>
      </c>
      <c r="AL292"/>
      <c r="AM292" t="s">
        <v>2391</v>
      </c>
      <c r="AN292" t="s">
        <v>2392</v>
      </c>
      <c r="AO292" t="s">
        <v>2401</v>
      </c>
      <c r="AP292" t="s">
        <v>2399</v>
      </c>
      <c r="AQ292">
        <v>8003527254</v>
      </c>
      <c r="AR292"/>
      <c r="AS292">
        <v>7152347394</v>
      </c>
      <c r="AT292" t="s">
        <v>2394</v>
      </c>
      <c r="AU292" t="s">
        <v>2402</v>
      </c>
      <c r="AV292"/>
      <c r="AW292" t="s">
        <v>2403</v>
      </c>
      <c r="AX292" t="s">
        <v>2404</v>
      </c>
      <c r="AY292" t="s">
        <v>813</v>
      </c>
      <c r="AZ292" s="576">
        <v>54868</v>
      </c>
      <c r="BA292"/>
      <c r="BB292"/>
      <c r="BC292"/>
      <c r="BD292"/>
      <c r="BE292"/>
      <c r="BF292"/>
      <c r="BG292"/>
      <c r="BH292"/>
      <c r="BI292"/>
      <c r="BJ292"/>
      <c r="BK292"/>
      <c r="BL292"/>
      <c r="BM292"/>
      <c r="BN292"/>
      <c r="BO292"/>
      <c r="BP292"/>
      <c r="BQ292"/>
      <c r="BR292"/>
      <c r="BS292"/>
      <c r="BT292"/>
      <c r="BU292"/>
      <c r="BV292"/>
      <c r="BW292"/>
      <c r="BX292"/>
      <c r="BY292"/>
      <c r="BZ292"/>
      <c r="CA292"/>
      <c r="CB292"/>
      <c r="CC292"/>
      <c r="CD292"/>
      <c r="CE292"/>
      <c r="CF292" t="s">
        <v>2405</v>
      </c>
      <c r="CG292" t="s">
        <v>2406</v>
      </c>
      <c r="CH292" t="s">
        <v>141</v>
      </c>
      <c r="CI292"/>
      <c r="CJ292"/>
      <c r="CK292"/>
      <c r="CL292"/>
      <c r="CM292">
        <v>1679528194</v>
      </c>
      <c r="CN292">
        <v>178</v>
      </c>
      <c r="CO292">
        <v>164</v>
      </c>
      <c r="CP292">
        <v>146</v>
      </c>
      <c r="CQ292"/>
      <c r="CR292"/>
      <c r="CS292" t="s">
        <v>788</v>
      </c>
      <c r="CT292">
        <v>12</v>
      </c>
      <c r="CU292"/>
      <c r="CV292"/>
      <c r="CW292"/>
      <c r="CX292"/>
      <c r="CY292"/>
      <c r="CZ292"/>
      <c r="DA292"/>
      <c r="DB292"/>
      <c r="DC292"/>
      <c r="DD292"/>
      <c r="DE292"/>
      <c r="DF292"/>
      <c r="DG292"/>
      <c r="DH292"/>
      <c r="DI292"/>
      <c r="DJ292"/>
      <c r="DK292"/>
      <c r="DL292"/>
      <c r="DM292"/>
      <c r="DN292"/>
      <c r="DO292"/>
      <c r="DP292"/>
      <c r="DQ292"/>
      <c r="DR292"/>
      <c r="DS292"/>
      <c r="DT292"/>
      <c r="DU292"/>
      <c r="DV292"/>
      <c r="DW292"/>
      <c r="DX292"/>
      <c r="DY292"/>
      <c r="DZ292"/>
      <c r="EA292"/>
      <c r="EB292"/>
      <c r="EC292"/>
      <c r="ED292"/>
      <c r="EE292"/>
      <c r="EF292"/>
      <c r="EG292"/>
      <c r="EH292"/>
      <c r="EI292"/>
      <c r="EJ292"/>
      <c r="EK292"/>
      <c r="EL292"/>
      <c r="EM292"/>
      <c r="EN292"/>
      <c r="EO292"/>
      <c r="EP292"/>
      <c r="EQ292"/>
      <c r="ER292">
        <v>83</v>
      </c>
      <c r="ES292"/>
      <c r="ET292"/>
      <c r="EU292"/>
      <c r="EV292" s="439">
        <v>1677</v>
      </c>
      <c r="EW292" t="s">
        <v>929</v>
      </c>
      <c r="EX292" t="s">
        <v>747</v>
      </c>
      <c r="EY292" t="s">
        <v>930</v>
      </c>
      <c r="EZ292" t="s">
        <v>54</v>
      </c>
      <c r="FA292">
        <v>55044</v>
      </c>
      <c r="FB292">
        <v>1003683244</v>
      </c>
    </row>
    <row r="293" spans="1:158" x14ac:dyDescent="0.2">
      <c r="A293" s="439">
        <v>1005</v>
      </c>
      <c r="B293" t="s">
        <v>2415</v>
      </c>
      <c r="C293" t="s">
        <v>2416</v>
      </c>
      <c r="D293" t="s">
        <v>2417</v>
      </c>
      <c r="E293"/>
      <c r="F293" t="s">
        <v>2418</v>
      </c>
      <c r="G293" t="s">
        <v>54</v>
      </c>
      <c r="H293" s="576">
        <v>56258</v>
      </c>
      <c r="I293"/>
      <c r="J293" t="s">
        <v>2419</v>
      </c>
      <c r="K293"/>
      <c r="L293" t="s">
        <v>2420</v>
      </c>
      <c r="M293" t="s">
        <v>2421</v>
      </c>
      <c r="N293" t="s">
        <v>54</v>
      </c>
      <c r="O293" s="576">
        <v>56172</v>
      </c>
      <c r="P293"/>
      <c r="Q293">
        <v>5079297696</v>
      </c>
      <c r="R293">
        <v>5073371979</v>
      </c>
      <c r="S293" t="s">
        <v>2422</v>
      </c>
      <c r="T293" t="s">
        <v>2423</v>
      </c>
      <c r="U293" t="s">
        <v>2424</v>
      </c>
      <c r="V293" t="s">
        <v>2425</v>
      </c>
      <c r="W293" t="s">
        <v>2426</v>
      </c>
      <c r="X293" t="s">
        <v>2422</v>
      </c>
      <c r="Y293" t="s">
        <v>2423</v>
      </c>
      <c r="Z293" t="s">
        <v>2136</v>
      </c>
      <c r="AA293" t="s">
        <v>2427</v>
      </c>
      <c r="AB293">
        <v>5079297696</v>
      </c>
      <c r="AC293"/>
      <c r="AD293">
        <v>5073371979</v>
      </c>
      <c r="AE293" t="s">
        <v>2425</v>
      </c>
      <c r="AF293" t="s">
        <v>2419</v>
      </c>
      <c r="AG293"/>
      <c r="AH293" t="s">
        <v>2420</v>
      </c>
      <c r="AI293" t="s">
        <v>2421</v>
      </c>
      <c r="AJ293" t="s">
        <v>54</v>
      </c>
      <c r="AK293" s="576">
        <v>56172</v>
      </c>
      <c r="AL293"/>
      <c r="AM293" t="s">
        <v>2428</v>
      </c>
      <c r="AN293" t="s">
        <v>2429</v>
      </c>
      <c r="AO293" t="s">
        <v>2430</v>
      </c>
      <c r="AP293" t="s">
        <v>2427</v>
      </c>
      <c r="AQ293"/>
      <c r="AR293"/>
      <c r="AS293"/>
      <c r="AT293" t="s">
        <v>2431</v>
      </c>
      <c r="AU293" t="s">
        <v>2419</v>
      </c>
      <c r="AV293"/>
      <c r="AW293" t="s">
        <v>2420</v>
      </c>
      <c r="AX293" t="s">
        <v>2421</v>
      </c>
      <c r="AY293" t="s">
        <v>54</v>
      </c>
      <c r="AZ293" s="576">
        <v>56172</v>
      </c>
      <c r="BA293"/>
      <c r="BB293"/>
      <c r="BC293"/>
      <c r="BD293"/>
      <c r="BE293"/>
      <c r="BF293"/>
      <c r="BG293"/>
      <c r="BH293"/>
      <c r="BI293"/>
      <c r="BJ293"/>
      <c r="BK293"/>
      <c r="BL293"/>
      <c r="BM293"/>
      <c r="BN293"/>
      <c r="BO293"/>
      <c r="BP293"/>
      <c r="BQ293"/>
      <c r="BR293"/>
      <c r="BS293"/>
      <c r="BT293"/>
      <c r="BU293"/>
      <c r="BV293"/>
      <c r="BW293"/>
      <c r="BX293"/>
      <c r="BY293"/>
      <c r="BZ293"/>
      <c r="CA293"/>
      <c r="CB293"/>
      <c r="CC293"/>
      <c r="CD293"/>
      <c r="CE293"/>
      <c r="CF293" t="s">
        <v>2432</v>
      </c>
      <c r="CG293" t="s">
        <v>2433</v>
      </c>
      <c r="CH293" t="s">
        <v>141</v>
      </c>
      <c r="CI293"/>
      <c r="CJ293"/>
      <c r="CK293"/>
      <c r="CL293"/>
      <c r="CM293">
        <v>1063578466</v>
      </c>
      <c r="CN293">
        <v>173</v>
      </c>
      <c r="CO293">
        <v>171</v>
      </c>
      <c r="CP293">
        <v>1951</v>
      </c>
      <c r="CQ293"/>
      <c r="CR293"/>
      <c r="CS293" t="s">
        <v>788</v>
      </c>
      <c r="CT293">
        <v>12</v>
      </c>
      <c r="CU293"/>
      <c r="CV293"/>
      <c r="CW293"/>
      <c r="CX293"/>
      <c r="CY293"/>
      <c r="CZ293"/>
      <c r="DA293"/>
      <c r="DB293"/>
      <c r="DC293"/>
      <c r="DD293"/>
      <c r="DE293"/>
      <c r="DF293"/>
      <c r="DG293"/>
      <c r="DH293"/>
      <c r="DI293"/>
      <c r="DJ293"/>
      <c r="DK293"/>
      <c r="DL293">
        <v>132</v>
      </c>
      <c r="DM293" t="s">
        <v>2434</v>
      </c>
      <c r="DN293"/>
      <c r="DO293"/>
      <c r="DP293"/>
      <c r="DQ293"/>
      <c r="DR293"/>
      <c r="DS293"/>
      <c r="DT293"/>
      <c r="DU293"/>
      <c r="DV293"/>
      <c r="DW293"/>
      <c r="DX293"/>
      <c r="DY293"/>
      <c r="DZ293"/>
      <c r="EA293"/>
      <c r="EB293"/>
      <c r="EC293"/>
      <c r="ED293"/>
      <c r="EE293"/>
      <c r="EF293"/>
      <c r="EG293"/>
      <c r="EH293"/>
      <c r="EI293"/>
      <c r="EJ293"/>
      <c r="EK293"/>
      <c r="EL293"/>
      <c r="EM293"/>
      <c r="EN293"/>
      <c r="EO293"/>
      <c r="EP293"/>
      <c r="EQ293"/>
      <c r="ER293">
        <v>122</v>
      </c>
      <c r="ES293"/>
      <c r="ET293"/>
      <c r="EU293"/>
      <c r="EV293" s="439">
        <v>427</v>
      </c>
      <c r="EW293" t="s">
        <v>2978</v>
      </c>
      <c r="EX293" t="s">
        <v>747</v>
      </c>
      <c r="EY293" t="s">
        <v>930</v>
      </c>
      <c r="EZ293" t="s">
        <v>54</v>
      </c>
      <c r="FA293">
        <v>55044</v>
      </c>
      <c r="FB293"/>
    </row>
    <row r="294" spans="1:158" x14ac:dyDescent="0.2">
      <c r="A294" s="439">
        <v>1203</v>
      </c>
      <c r="B294" t="s">
        <v>2435</v>
      </c>
      <c r="C294" t="s">
        <v>1029</v>
      </c>
      <c r="D294" t="s">
        <v>2436</v>
      </c>
      <c r="E294" t="s">
        <v>2437</v>
      </c>
      <c r="F294" t="s">
        <v>912</v>
      </c>
      <c r="G294" t="s">
        <v>54</v>
      </c>
      <c r="H294" s="576">
        <v>55103</v>
      </c>
      <c r="I294"/>
      <c r="J294" t="s">
        <v>2436</v>
      </c>
      <c r="K294" t="s">
        <v>2437</v>
      </c>
      <c r="L294" t="s">
        <v>1029</v>
      </c>
      <c r="M294"/>
      <c r="N294" t="s">
        <v>54</v>
      </c>
      <c r="O294" s="576">
        <v>55103</v>
      </c>
      <c r="P294"/>
      <c r="Q294">
        <v>6517973866</v>
      </c>
      <c r="R294">
        <v>6512075395</v>
      </c>
      <c r="S294" t="s">
        <v>2438</v>
      </c>
      <c r="T294" t="s">
        <v>2439</v>
      </c>
      <c r="U294" t="s">
        <v>740</v>
      </c>
      <c r="V294" t="s">
        <v>2440</v>
      </c>
      <c r="W294" t="s">
        <v>2441</v>
      </c>
      <c r="X294" t="s">
        <v>2442</v>
      </c>
      <c r="Y294" t="s">
        <v>2443</v>
      </c>
      <c r="Z294" t="s">
        <v>2313</v>
      </c>
      <c r="AA294" t="s">
        <v>2435</v>
      </c>
      <c r="AB294">
        <v>6513076280</v>
      </c>
      <c r="AC294"/>
      <c r="AD294">
        <v>6512075395</v>
      </c>
      <c r="AE294" t="s">
        <v>2444</v>
      </c>
      <c r="AF294" t="s">
        <v>2436</v>
      </c>
      <c r="AG294" t="s">
        <v>2437</v>
      </c>
      <c r="AH294" t="s">
        <v>1029</v>
      </c>
      <c r="AI294" t="s">
        <v>912</v>
      </c>
      <c r="AJ294" t="s">
        <v>54</v>
      </c>
      <c r="AK294" s="576">
        <v>55103</v>
      </c>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t="s">
        <v>2438</v>
      </c>
      <c r="BR294" t="s">
        <v>2439</v>
      </c>
      <c r="BS294" t="s">
        <v>740</v>
      </c>
      <c r="BT294" t="s">
        <v>2435</v>
      </c>
      <c r="BU294">
        <v>6122424235</v>
      </c>
      <c r="BV294"/>
      <c r="BW294">
        <v>6512075395</v>
      </c>
      <c r="BX294" t="s">
        <v>2440</v>
      </c>
      <c r="BY294" t="s">
        <v>2436</v>
      </c>
      <c r="BZ294" t="s">
        <v>2437</v>
      </c>
      <c r="CA294" t="s">
        <v>1029</v>
      </c>
      <c r="CB294"/>
      <c r="CC294" t="s">
        <v>54</v>
      </c>
      <c r="CD294" s="576">
        <v>55103</v>
      </c>
      <c r="CE294"/>
      <c r="CF294"/>
      <c r="CG294" t="s">
        <v>733</v>
      </c>
      <c r="CH294" t="s">
        <v>141</v>
      </c>
      <c r="CI294"/>
      <c r="CJ294"/>
      <c r="CK294"/>
      <c r="CL294"/>
      <c r="CM294">
        <v>1487104683</v>
      </c>
      <c r="CN294">
        <v>1944</v>
      </c>
      <c r="CO294">
        <v>1892</v>
      </c>
      <c r="CP294"/>
      <c r="CQ294"/>
      <c r="CR294">
        <v>2289</v>
      </c>
      <c r="CS294" t="s">
        <v>788</v>
      </c>
      <c r="CT294">
        <v>12</v>
      </c>
      <c r="CU294"/>
      <c r="CV294"/>
      <c r="CW294"/>
      <c r="CX294"/>
      <c r="CY294"/>
      <c r="CZ294"/>
      <c r="DA294"/>
      <c r="DB294"/>
      <c r="DC294"/>
      <c r="DD294"/>
      <c r="DE294"/>
      <c r="DF294"/>
      <c r="DG294"/>
      <c r="DH294"/>
      <c r="DI294"/>
      <c r="DJ294"/>
      <c r="DK294"/>
      <c r="DL294">
        <v>132</v>
      </c>
      <c r="DM294" t="s">
        <v>1163</v>
      </c>
      <c r="DN294"/>
      <c r="DO294"/>
      <c r="DP294"/>
      <c r="DQ294"/>
      <c r="DR294"/>
      <c r="DS294"/>
      <c r="DT294"/>
      <c r="DU294"/>
      <c r="DV294"/>
      <c r="DW294"/>
      <c r="DX294"/>
      <c r="DY294"/>
      <c r="DZ294"/>
      <c r="EA294"/>
      <c r="EB294"/>
      <c r="EC294"/>
      <c r="ED294"/>
      <c r="EE294"/>
      <c r="EF294"/>
      <c r="EG294"/>
      <c r="EH294"/>
      <c r="EI294"/>
      <c r="EJ294"/>
      <c r="EK294"/>
      <c r="EL294"/>
      <c r="EM294"/>
      <c r="EN294"/>
      <c r="EO294"/>
      <c r="EP294"/>
      <c r="EQ294"/>
      <c r="ER294">
        <v>0</v>
      </c>
      <c r="ES294"/>
      <c r="ET294"/>
      <c r="EU294"/>
      <c r="EV294" s="439">
        <v>1215</v>
      </c>
      <c r="EW294" t="s">
        <v>1119</v>
      </c>
      <c r="EX294" t="s">
        <v>747</v>
      </c>
      <c r="EY294" t="s">
        <v>1120</v>
      </c>
      <c r="EZ294" t="s">
        <v>54</v>
      </c>
      <c r="FA294">
        <v>55044</v>
      </c>
      <c r="FB294">
        <v>1659348092</v>
      </c>
    </row>
    <row r="295" spans="1:158" x14ac:dyDescent="0.2">
      <c r="A295" s="439">
        <v>764</v>
      </c>
      <c r="B295" t="s">
        <v>2445</v>
      </c>
      <c r="C295" t="s">
        <v>854</v>
      </c>
      <c r="D295" t="s">
        <v>2446</v>
      </c>
      <c r="E295"/>
      <c r="F295" t="s">
        <v>855</v>
      </c>
      <c r="G295" t="s">
        <v>54</v>
      </c>
      <c r="H295" s="576">
        <v>56303</v>
      </c>
      <c r="I295"/>
      <c r="J295" t="s">
        <v>2446</v>
      </c>
      <c r="K295"/>
      <c r="L295" t="s">
        <v>854</v>
      </c>
      <c r="M295" t="s">
        <v>855</v>
      </c>
      <c r="N295" t="s">
        <v>54</v>
      </c>
      <c r="O295" s="576">
        <v>56303</v>
      </c>
      <c r="P295"/>
      <c r="Q295">
        <v>3202520233</v>
      </c>
      <c r="R295">
        <v>3202521421</v>
      </c>
      <c r="S295" t="s">
        <v>2447</v>
      </c>
      <c r="T295" t="s">
        <v>1811</v>
      </c>
      <c r="U295" t="s">
        <v>2448</v>
      </c>
      <c r="V295" t="s">
        <v>2449</v>
      </c>
      <c r="W295"/>
      <c r="X295" t="s">
        <v>2450</v>
      </c>
      <c r="Y295" t="s">
        <v>2451</v>
      </c>
      <c r="Z295" t="s">
        <v>2452</v>
      </c>
      <c r="AA295" t="s">
        <v>2453</v>
      </c>
      <c r="AB295">
        <v>3202571103</v>
      </c>
      <c r="AC295">
        <v>1103</v>
      </c>
      <c r="AD295">
        <v>3202521421</v>
      </c>
      <c r="AE295" t="s">
        <v>2454</v>
      </c>
      <c r="AF295" t="s">
        <v>2446</v>
      </c>
      <c r="AG295"/>
      <c r="AH295" t="s">
        <v>854</v>
      </c>
      <c r="AI295" t="s">
        <v>855</v>
      </c>
      <c r="AJ295" t="s">
        <v>54</v>
      </c>
      <c r="AK295" s="576">
        <v>56303</v>
      </c>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c r="BR295"/>
      <c r="BS295"/>
      <c r="BT295"/>
      <c r="BU295"/>
      <c r="BV295"/>
      <c r="BW295"/>
      <c r="BX295"/>
      <c r="BY295"/>
      <c r="BZ295"/>
      <c r="CA295"/>
      <c r="CB295"/>
      <c r="CC295"/>
      <c r="CD295"/>
      <c r="CE295"/>
      <c r="CF295" t="s">
        <v>2455</v>
      </c>
      <c r="CG295" t="s">
        <v>733</v>
      </c>
      <c r="CH295" t="s">
        <v>56</v>
      </c>
      <c r="CI295"/>
      <c r="CJ295"/>
      <c r="CK295"/>
      <c r="CL295"/>
      <c r="CM295">
        <v>1508882754</v>
      </c>
      <c r="CN295">
        <v>304</v>
      </c>
      <c r="CO295">
        <v>179</v>
      </c>
      <c r="CP295"/>
      <c r="CQ295"/>
      <c r="CR295"/>
      <c r="CS295" t="s">
        <v>788</v>
      </c>
      <c r="CT295">
        <v>12</v>
      </c>
      <c r="CU295">
        <v>31</v>
      </c>
      <c r="CV295"/>
      <c r="CW295"/>
      <c r="CX295"/>
      <c r="CY295"/>
      <c r="CZ295"/>
      <c r="DA295"/>
      <c r="DB295"/>
      <c r="DC295"/>
      <c r="DD295"/>
      <c r="DE295"/>
      <c r="DF295"/>
      <c r="DG295"/>
      <c r="DH295"/>
      <c r="DI295"/>
      <c r="DJ295"/>
      <c r="DK295"/>
      <c r="DL295"/>
      <c r="DM295"/>
      <c r="DN295">
        <v>133</v>
      </c>
      <c r="DO295" t="s">
        <v>2456</v>
      </c>
      <c r="DP295"/>
      <c r="DQ295"/>
      <c r="DR295"/>
      <c r="DS295"/>
      <c r="DT295"/>
      <c r="DU295"/>
      <c r="DV295"/>
      <c r="DW295"/>
      <c r="DX295"/>
      <c r="DY295"/>
      <c r="DZ295"/>
      <c r="EA295"/>
      <c r="EB295"/>
      <c r="EC295"/>
      <c r="ED295"/>
      <c r="EE295"/>
      <c r="EF295"/>
      <c r="EG295"/>
      <c r="EH295"/>
      <c r="EI295"/>
      <c r="EJ295"/>
      <c r="EK295"/>
      <c r="EL295"/>
      <c r="EM295"/>
      <c r="EN295"/>
      <c r="EO295"/>
      <c r="EP295"/>
      <c r="EQ295"/>
      <c r="ER295">
        <v>0</v>
      </c>
      <c r="ES295"/>
      <c r="ET295"/>
      <c r="EU295"/>
      <c r="EV295" s="439">
        <v>1462</v>
      </c>
      <c r="EW295" t="s">
        <v>2534</v>
      </c>
      <c r="EX295" t="s">
        <v>747</v>
      </c>
      <c r="EY295" t="s">
        <v>2535</v>
      </c>
      <c r="EZ295" t="s">
        <v>54</v>
      </c>
      <c r="FA295">
        <v>55044</v>
      </c>
      <c r="FB295">
        <v>1306899463</v>
      </c>
    </row>
    <row r="296" spans="1:158" x14ac:dyDescent="0.2">
      <c r="A296" s="439">
        <v>733</v>
      </c>
      <c r="B296" t="s">
        <v>2457</v>
      </c>
      <c r="C296" t="s">
        <v>1419</v>
      </c>
      <c r="D296" t="s">
        <v>2275</v>
      </c>
      <c r="E296"/>
      <c r="F296" t="s">
        <v>855</v>
      </c>
      <c r="G296" t="s">
        <v>54</v>
      </c>
      <c r="H296" s="576">
        <v>56377</v>
      </c>
      <c r="I296"/>
      <c r="J296" t="s">
        <v>2275</v>
      </c>
      <c r="K296"/>
      <c r="L296" t="s">
        <v>1419</v>
      </c>
      <c r="M296" t="s">
        <v>855</v>
      </c>
      <c r="N296" t="s">
        <v>54</v>
      </c>
      <c r="O296" s="576">
        <v>56377</v>
      </c>
      <c r="P296"/>
      <c r="Q296">
        <v>3202594100</v>
      </c>
      <c r="R296">
        <v>3202575523</v>
      </c>
      <c r="S296" t="s">
        <v>2458</v>
      </c>
      <c r="T296" t="s">
        <v>1057</v>
      </c>
      <c r="U296" t="s">
        <v>742</v>
      </c>
      <c r="V296" t="s">
        <v>2459</v>
      </c>
      <c r="W296" t="s">
        <v>2460</v>
      </c>
      <c r="X296" t="s">
        <v>2461</v>
      </c>
      <c r="Y296" t="s">
        <v>2462</v>
      </c>
      <c r="Z296" t="s">
        <v>2027</v>
      </c>
      <c r="AA296" t="s">
        <v>2457</v>
      </c>
      <c r="AB296">
        <v>3202025594</v>
      </c>
      <c r="AC296"/>
      <c r="AD296">
        <v>3202575523</v>
      </c>
      <c r="AE296" t="s">
        <v>2463</v>
      </c>
      <c r="AF296" t="s">
        <v>2275</v>
      </c>
      <c r="AG296"/>
      <c r="AH296" t="s">
        <v>1419</v>
      </c>
      <c r="AI296" t="s">
        <v>855</v>
      </c>
      <c r="AJ296" t="s">
        <v>54</v>
      </c>
      <c r="AK296" s="576">
        <v>56377</v>
      </c>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c r="BR296"/>
      <c r="BS296"/>
      <c r="BT296"/>
      <c r="BU296"/>
      <c r="BV296"/>
      <c r="BW296"/>
      <c r="BX296"/>
      <c r="BY296"/>
      <c r="BZ296"/>
      <c r="CA296"/>
      <c r="CB296"/>
      <c r="CC296"/>
      <c r="CD296"/>
      <c r="CE296"/>
      <c r="CF296" t="s">
        <v>2464</v>
      </c>
      <c r="CG296" t="s">
        <v>733</v>
      </c>
      <c r="CH296" t="s">
        <v>56</v>
      </c>
      <c r="CI296"/>
      <c r="CJ296"/>
      <c r="CK296"/>
      <c r="CL296"/>
      <c r="CM296">
        <v>1083638761</v>
      </c>
      <c r="CN296">
        <v>311</v>
      </c>
      <c r="CO296">
        <v>207</v>
      </c>
      <c r="CP296"/>
      <c r="CQ296"/>
      <c r="CR296"/>
      <c r="CS296" t="s">
        <v>788</v>
      </c>
      <c r="CT296">
        <v>12</v>
      </c>
      <c r="CU296">
        <v>178</v>
      </c>
      <c r="CV296"/>
      <c r="CW296"/>
      <c r="CX296"/>
      <c r="CY296"/>
      <c r="CZ296"/>
      <c r="DA296"/>
      <c r="DB296"/>
      <c r="DC296"/>
      <c r="DD296"/>
      <c r="DE296"/>
      <c r="DF296"/>
      <c r="DG296"/>
      <c r="DH296"/>
      <c r="DI296"/>
      <c r="DJ296"/>
      <c r="DK296"/>
      <c r="DL296"/>
      <c r="DM296"/>
      <c r="DN296"/>
      <c r="DO296"/>
      <c r="DP296"/>
      <c r="DQ296"/>
      <c r="DR296"/>
      <c r="DS296"/>
      <c r="DT296"/>
      <c r="DU296"/>
      <c r="DV296"/>
      <c r="DW296"/>
      <c r="DX296"/>
      <c r="DY296"/>
      <c r="DZ296"/>
      <c r="EA296"/>
      <c r="EB296"/>
      <c r="EC296"/>
      <c r="ED296"/>
      <c r="EE296"/>
      <c r="EF296"/>
      <c r="EG296"/>
      <c r="EH296"/>
      <c r="EI296"/>
      <c r="EJ296"/>
      <c r="EK296"/>
      <c r="EL296"/>
      <c r="EM296"/>
      <c r="EN296"/>
      <c r="EO296"/>
      <c r="EP296"/>
      <c r="EQ296"/>
      <c r="ER296">
        <v>0</v>
      </c>
      <c r="ES296"/>
      <c r="ET296"/>
      <c r="EU296"/>
      <c r="EV296" s="439">
        <v>92</v>
      </c>
      <c r="EW296" t="s">
        <v>2979</v>
      </c>
      <c r="EX296" t="s">
        <v>2980</v>
      </c>
      <c r="EY296" t="s">
        <v>2981</v>
      </c>
      <c r="EZ296" t="s">
        <v>54</v>
      </c>
      <c r="FA296">
        <v>56058</v>
      </c>
      <c r="FB296">
        <v>1730248907</v>
      </c>
    </row>
    <row r="297" spans="1:158" x14ac:dyDescent="0.2">
      <c r="A297" s="439">
        <v>1059</v>
      </c>
      <c r="B297" t="s">
        <v>2465</v>
      </c>
      <c r="C297" t="s">
        <v>1605</v>
      </c>
      <c r="D297" t="s">
        <v>2466</v>
      </c>
      <c r="E297"/>
      <c r="F297" t="s">
        <v>1023</v>
      </c>
      <c r="G297" t="s">
        <v>54</v>
      </c>
      <c r="H297" s="576">
        <v>55792</v>
      </c>
      <c r="I297" s="576">
        <v>4005</v>
      </c>
      <c r="J297" t="s">
        <v>2467</v>
      </c>
      <c r="K297"/>
      <c r="L297" t="s">
        <v>1020</v>
      </c>
      <c r="M297" t="s">
        <v>1023</v>
      </c>
      <c r="N297" t="s">
        <v>54</v>
      </c>
      <c r="O297" s="576">
        <v>55805</v>
      </c>
      <c r="P297" s="576">
        <v>2107</v>
      </c>
      <c r="Q297">
        <v>2187487480</v>
      </c>
      <c r="R297">
        <v>2187487488</v>
      </c>
      <c r="S297" t="s">
        <v>1881</v>
      </c>
      <c r="T297" t="s">
        <v>2468</v>
      </c>
      <c r="U297" t="s">
        <v>2469</v>
      </c>
      <c r="V297" t="s">
        <v>2470</v>
      </c>
      <c r="W297" t="s">
        <v>2471</v>
      </c>
      <c r="X297" t="s">
        <v>2472</v>
      </c>
      <c r="Y297" t="s">
        <v>2473</v>
      </c>
      <c r="Z297" t="s">
        <v>1431</v>
      </c>
      <c r="AA297" t="s">
        <v>2474</v>
      </c>
      <c r="AB297">
        <v>2182492973</v>
      </c>
      <c r="AC297"/>
      <c r="AD297">
        <v>2182492472</v>
      </c>
      <c r="AE297" t="s">
        <v>2475</v>
      </c>
      <c r="AF297" t="s">
        <v>2467</v>
      </c>
      <c r="AG297"/>
      <c r="AH297" t="s">
        <v>1020</v>
      </c>
      <c r="AI297" t="s">
        <v>1023</v>
      </c>
      <c r="AJ297" t="s">
        <v>54</v>
      </c>
      <c r="AK297" s="576">
        <v>55805</v>
      </c>
      <c r="AL297" s="576">
        <v>2107</v>
      </c>
      <c r="AM297" t="s">
        <v>2476</v>
      </c>
      <c r="AN297" t="s">
        <v>2477</v>
      </c>
      <c r="AO297" t="s">
        <v>2478</v>
      </c>
      <c r="AP297" t="s">
        <v>1549</v>
      </c>
      <c r="AQ297">
        <v>2182495760</v>
      </c>
      <c r="AR297"/>
      <c r="AS297"/>
      <c r="AT297" t="s">
        <v>2479</v>
      </c>
      <c r="AU297" t="s">
        <v>2467</v>
      </c>
      <c r="AV297"/>
      <c r="AW297" t="s">
        <v>1020</v>
      </c>
      <c r="AX297" t="s">
        <v>1023</v>
      </c>
      <c r="AY297" t="s">
        <v>54</v>
      </c>
      <c r="AZ297" s="576">
        <v>55805</v>
      </c>
      <c r="BA297" s="576">
        <v>2107</v>
      </c>
      <c r="BB297" t="s">
        <v>1798</v>
      </c>
      <c r="BC297" t="s">
        <v>2480</v>
      </c>
      <c r="BD297" t="s">
        <v>2481</v>
      </c>
      <c r="BE297" t="s">
        <v>1549</v>
      </c>
      <c r="BF297">
        <v>2182495488</v>
      </c>
      <c r="BG297"/>
      <c r="BH297">
        <v>2182492472</v>
      </c>
      <c r="BI297" t="s">
        <v>2482</v>
      </c>
      <c r="BJ297" t="s">
        <v>2467</v>
      </c>
      <c r="BK297"/>
      <c r="BL297" t="s">
        <v>1020</v>
      </c>
      <c r="BM297" t="s">
        <v>1023</v>
      </c>
      <c r="BN297" t="s">
        <v>54</v>
      </c>
      <c r="BO297" s="576">
        <v>55805</v>
      </c>
      <c r="BP297" s="576">
        <v>2107</v>
      </c>
      <c r="BQ297"/>
      <c r="BR297"/>
      <c r="BS297"/>
      <c r="BT297"/>
      <c r="BU297"/>
      <c r="BV297"/>
      <c r="BW297"/>
      <c r="BX297"/>
      <c r="BY297"/>
      <c r="BZ297"/>
      <c r="CA297"/>
      <c r="CB297"/>
      <c r="CC297"/>
      <c r="CD297"/>
      <c r="CE297"/>
      <c r="CF297" t="s">
        <v>2483</v>
      </c>
      <c r="CG297" t="s">
        <v>1549</v>
      </c>
      <c r="CH297" t="s">
        <v>141</v>
      </c>
      <c r="CI297"/>
      <c r="CJ297"/>
      <c r="CK297"/>
      <c r="CL297"/>
      <c r="CM297">
        <v>1063464154</v>
      </c>
      <c r="CN297">
        <v>440</v>
      </c>
      <c r="CO297">
        <v>438</v>
      </c>
      <c r="CP297">
        <v>1890</v>
      </c>
      <c r="CQ297">
        <v>2315</v>
      </c>
      <c r="CR297"/>
      <c r="CS297" t="s">
        <v>788</v>
      </c>
      <c r="CT297">
        <v>12</v>
      </c>
      <c r="CU297"/>
      <c r="CV297"/>
      <c r="CW297"/>
      <c r="CX297"/>
      <c r="CY297"/>
      <c r="CZ297"/>
      <c r="DA297"/>
      <c r="DB297"/>
      <c r="DC297"/>
      <c r="DD297">
        <v>128</v>
      </c>
      <c r="DE297" t="s">
        <v>2484</v>
      </c>
      <c r="DF297"/>
      <c r="DG297"/>
      <c r="DH297">
        <v>129</v>
      </c>
      <c r="DI297" t="s">
        <v>2485</v>
      </c>
      <c r="DJ297"/>
      <c r="DK297"/>
      <c r="DL297"/>
      <c r="DM297"/>
      <c r="DN297"/>
      <c r="DO297"/>
      <c r="DP297"/>
      <c r="DQ297"/>
      <c r="DR297"/>
      <c r="DS297"/>
      <c r="DT297"/>
      <c r="DU297"/>
      <c r="DV297"/>
      <c r="DW297"/>
      <c r="DX297"/>
      <c r="DY297"/>
      <c r="DZ297"/>
      <c r="EA297"/>
      <c r="EB297"/>
      <c r="EC297"/>
      <c r="ED297"/>
      <c r="EE297"/>
      <c r="EF297"/>
      <c r="EG297"/>
      <c r="EH297"/>
      <c r="EI297"/>
      <c r="EJ297"/>
      <c r="EK297"/>
      <c r="EL297"/>
      <c r="EM297"/>
      <c r="EN297"/>
      <c r="EO297"/>
      <c r="EP297"/>
      <c r="EQ297"/>
      <c r="ER297">
        <v>31</v>
      </c>
      <c r="ES297"/>
      <c r="ET297"/>
      <c r="EU297"/>
      <c r="EV297" s="439">
        <v>842</v>
      </c>
      <c r="EW297" t="s">
        <v>1317</v>
      </c>
      <c r="EX297" t="s">
        <v>1318</v>
      </c>
      <c r="EY297" t="s">
        <v>1319</v>
      </c>
      <c r="EZ297" t="s">
        <v>54</v>
      </c>
      <c r="FA297">
        <v>55355</v>
      </c>
      <c r="FB297"/>
    </row>
    <row r="298" spans="1:158" x14ac:dyDescent="0.2">
      <c r="A298" s="439">
        <v>731</v>
      </c>
      <c r="B298" t="s">
        <v>2486</v>
      </c>
      <c r="C298" t="s">
        <v>822</v>
      </c>
      <c r="D298" t="s">
        <v>2487</v>
      </c>
      <c r="E298"/>
      <c r="F298" t="s">
        <v>746</v>
      </c>
      <c r="G298" t="s">
        <v>54</v>
      </c>
      <c r="H298" s="576">
        <v>55121</v>
      </c>
      <c r="I298"/>
      <c r="J298" t="s">
        <v>2487</v>
      </c>
      <c r="K298"/>
      <c r="L298" t="s">
        <v>822</v>
      </c>
      <c r="M298" t="s">
        <v>746</v>
      </c>
      <c r="N298" t="s">
        <v>54</v>
      </c>
      <c r="O298" s="576">
        <v>55121</v>
      </c>
      <c r="P298"/>
      <c r="Q298">
        <v>6516444277</v>
      </c>
      <c r="R298">
        <v>6516444018</v>
      </c>
      <c r="S298" t="s">
        <v>1929</v>
      </c>
      <c r="T298" t="s">
        <v>2488</v>
      </c>
      <c r="U298" t="s">
        <v>740</v>
      </c>
      <c r="V298" t="s">
        <v>2489</v>
      </c>
      <c r="W298"/>
      <c r="X298" t="s">
        <v>2490</v>
      </c>
      <c r="Y298" t="s">
        <v>2491</v>
      </c>
      <c r="Z298" t="s">
        <v>749</v>
      </c>
      <c r="AA298" t="s">
        <v>2486</v>
      </c>
      <c r="AB298">
        <v>6512244930</v>
      </c>
      <c r="AC298"/>
      <c r="AD298">
        <v>6518423391</v>
      </c>
      <c r="AE298" t="s">
        <v>2492</v>
      </c>
      <c r="AF298" t="s">
        <v>2487</v>
      </c>
      <c r="AG298" t="s">
        <v>1145</v>
      </c>
      <c r="AH298" t="s">
        <v>822</v>
      </c>
      <c r="AI298" t="s">
        <v>746</v>
      </c>
      <c r="AJ298" t="s">
        <v>54</v>
      </c>
      <c r="AK298" s="576">
        <v>55121</v>
      </c>
      <c r="AL298" s="576">
        <v>1447</v>
      </c>
      <c r="AM298" t="s">
        <v>1929</v>
      </c>
      <c r="AN298" t="s">
        <v>2488</v>
      </c>
      <c r="AO298" t="s">
        <v>740</v>
      </c>
      <c r="AP298" t="s">
        <v>2486</v>
      </c>
      <c r="AQ298">
        <v>6518423345</v>
      </c>
      <c r="AR298"/>
      <c r="AS298">
        <v>6518423391</v>
      </c>
      <c r="AT298" t="s">
        <v>2489</v>
      </c>
      <c r="AU298" t="s">
        <v>2487</v>
      </c>
      <c r="AV298" t="s">
        <v>1145</v>
      </c>
      <c r="AW298" t="s">
        <v>822</v>
      </c>
      <c r="AX298" t="s">
        <v>746</v>
      </c>
      <c r="AY298" t="s">
        <v>54</v>
      </c>
      <c r="AZ298" s="576">
        <v>55121</v>
      </c>
      <c r="BA298" s="576">
        <v>1447</v>
      </c>
      <c r="BB298" t="s">
        <v>2493</v>
      </c>
      <c r="BC298" t="s">
        <v>2494</v>
      </c>
      <c r="BD298" t="s">
        <v>2495</v>
      </c>
      <c r="BE298" t="s">
        <v>2486</v>
      </c>
      <c r="BF298">
        <v>6516444277</v>
      </c>
      <c r="BG298"/>
      <c r="BH298">
        <v>6516444018</v>
      </c>
      <c r="BI298" t="s">
        <v>2496</v>
      </c>
      <c r="BJ298" t="s">
        <v>2487</v>
      </c>
      <c r="BK298" t="s">
        <v>1145</v>
      </c>
      <c r="BL298" t="s">
        <v>822</v>
      </c>
      <c r="BM298" t="s">
        <v>746</v>
      </c>
      <c r="BN298" t="s">
        <v>54</v>
      </c>
      <c r="BO298" s="576">
        <v>55121</v>
      </c>
      <c r="BP298" s="576">
        <v>1447</v>
      </c>
      <c r="BQ298"/>
      <c r="BR298"/>
      <c r="BS298"/>
      <c r="BT298"/>
      <c r="BU298"/>
      <c r="BV298"/>
      <c r="BW298"/>
      <c r="BX298"/>
      <c r="BY298"/>
      <c r="BZ298"/>
      <c r="CA298"/>
      <c r="CB298"/>
      <c r="CC298"/>
      <c r="CD298"/>
      <c r="CE298"/>
      <c r="CF298" t="s">
        <v>2497</v>
      </c>
      <c r="CG298" t="s">
        <v>733</v>
      </c>
      <c r="CH298" t="s">
        <v>56</v>
      </c>
      <c r="CI298"/>
      <c r="CJ298"/>
      <c r="CK298"/>
      <c r="CL298"/>
      <c r="CM298">
        <v>1053344788</v>
      </c>
      <c r="CN298">
        <v>309</v>
      </c>
      <c r="CO298">
        <v>223</v>
      </c>
      <c r="CP298">
        <v>224</v>
      </c>
      <c r="CQ298">
        <v>240</v>
      </c>
      <c r="CR298"/>
      <c r="CS298" t="s">
        <v>788</v>
      </c>
      <c r="CT298">
        <v>12</v>
      </c>
      <c r="CU298"/>
      <c r="CV298"/>
      <c r="CW298"/>
      <c r="CX298"/>
      <c r="CY298"/>
      <c r="CZ298"/>
      <c r="DA298"/>
      <c r="DB298"/>
      <c r="DC298"/>
      <c r="DD298"/>
      <c r="DE298"/>
      <c r="DF298"/>
      <c r="DG298"/>
      <c r="DH298"/>
      <c r="DI298"/>
      <c r="DJ298"/>
      <c r="DK298"/>
      <c r="DL298"/>
      <c r="DM298"/>
      <c r="DN298"/>
      <c r="DO298"/>
      <c r="DP298"/>
      <c r="DQ298"/>
      <c r="DR298"/>
      <c r="DS298"/>
      <c r="DT298"/>
      <c r="DU298"/>
      <c r="DV298"/>
      <c r="DW298"/>
      <c r="DX298"/>
      <c r="DY298"/>
      <c r="DZ298"/>
      <c r="EA298"/>
      <c r="EB298"/>
      <c r="EC298"/>
      <c r="ED298"/>
      <c r="EE298"/>
      <c r="EF298"/>
      <c r="EG298"/>
      <c r="EH298"/>
      <c r="EI298"/>
      <c r="EJ298"/>
      <c r="EK298"/>
      <c r="EL298"/>
      <c r="EM298"/>
      <c r="EN298"/>
      <c r="EO298"/>
      <c r="EP298"/>
      <c r="EQ298"/>
      <c r="ER298">
        <v>0</v>
      </c>
      <c r="ES298"/>
      <c r="ET298"/>
      <c r="EU298"/>
      <c r="EV298" s="439">
        <v>80</v>
      </c>
      <c r="EW298" t="s">
        <v>2982</v>
      </c>
      <c r="EX298" t="s">
        <v>1318</v>
      </c>
      <c r="EY298" t="s">
        <v>1319</v>
      </c>
      <c r="EZ298" t="s">
        <v>54</v>
      </c>
      <c r="FA298">
        <v>55355</v>
      </c>
      <c r="FB298">
        <v>1598860215</v>
      </c>
    </row>
    <row r="299" spans="1:158" x14ac:dyDescent="0.2">
      <c r="A299" s="439">
        <v>520</v>
      </c>
      <c r="B299" t="s">
        <v>2498</v>
      </c>
      <c r="C299" t="s">
        <v>1110</v>
      </c>
      <c r="D299" t="s">
        <v>2499</v>
      </c>
      <c r="E299" t="s">
        <v>2500</v>
      </c>
      <c r="F299" t="s">
        <v>801</v>
      </c>
      <c r="G299" t="s">
        <v>54</v>
      </c>
      <c r="H299" s="576">
        <v>55433</v>
      </c>
      <c r="I299"/>
      <c r="J299" t="s">
        <v>2499</v>
      </c>
      <c r="K299" t="s">
        <v>2500</v>
      </c>
      <c r="L299" t="s">
        <v>1110</v>
      </c>
      <c r="M299" t="s">
        <v>801</v>
      </c>
      <c r="N299" t="s">
        <v>54</v>
      </c>
      <c r="O299" s="576">
        <v>55433</v>
      </c>
      <c r="P299"/>
      <c r="Q299">
        <v>7637921900</v>
      </c>
      <c r="R299">
        <v>7637921901</v>
      </c>
      <c r="S299" t="s">
        <v>1834</v>
      </c>
      <c r="T299" t="s">
        <v>1835</v>
      </c>
      <c r="U299" t="s">
        <v>1836</v>
      </c>
      <c r="V299"/>
      <c r="W299" t="s">
        <v>1837</v>
      </c>
      <c r="X299" t="s">
        <v>1823</v>
      </c>
      <c r="Y299" t="s">
        <v>1838</v>
      </c>
      <c r="Z299"/>
      <c r="AA299" t="s">
        <v>1839</v>
      </c>
      <c r="AB299">
        <v>6512922014</v>
      </c>
      <c r="AC299"/>
      <c r="AD299">
        <v>6512922131</v>
      </c>
      <c r="AE299" t="s">
        <v>1840</v>
      </c>
      <c r="AF299" t="s">
        <v>1841</v>
      </c>
      <c r="AG299" t="s">
        <v>911</v>
      </c>
      <c r="AH299" t="s">
        <v>1133</v>
      </c>
      <c r="AI299" t="s">
        <v>912</v>
      </c>
      <c r="AJ299" t="s">
        <v>54</v>
      </c>
      <c r="AK299" s="576">
        <v>55113</v>
      </c>
      <c r="AL299" t="s">
        <v>749</v>
      </c>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c r="BR299"/>
      <c r="BS299"/>
      <c r="BT299"/>
      <c r="BU299"/>
      <c r="BV299"/>
      <c r="BW299"/>
      <c r="BX299"/>
      <c r="BY299"/>
      <c r="BZ299"/>
      <c r="CA299"/>
      <c r="CB299"/>
      <c r="CC299"/>
      <c r="CD299"/>
      <c r="CE299"/>
      <c r="CF299" t="s">
        <v>1944</v>
      </c>
      <c r="CG299" t="s">
        <v>1843</v>
      </c>
      <c r="CH299" t="s">
        <v>141</v>
      </c>
      <c r="CI299"/>
      <c r="CJ299"/>
      <c r="CK299"/>
      <c r="CL299"/>
      <c r="CM299">
        <v>1427008937</v>
      </c>
      <c r="CN299">
        <v>418</v>
      </c>
      <c r="CO299">
        <v>140</v>
      </c>
      <c r="CP299"/>
      <c r="CQ299"/>
      <c r="CR299"/>
      <c r="CS299" t="s">
        <v>788</v>
      </c>
      <c r="CT299">
        <v>12</v>
      </c>
      <c r="CU299"/>
      <c r="CV299"/>
      <c r="CW299"/>
      <c r="CX299"/>
      <c r="CY299"/>
      <c r="CZ299"/>
      <c r="DA299"/>
      <c r="DB299"/>
      <c r="DC299"/>
      <c r="DD299">
        <v>128</v>
      </c>
      <c r="DE299" t="s">
        <v>2501</v>
      </c>
      <c r="DF299"/>
      <c r="DG299"/>
      <c r="DH299">
        <v>129</v>
      </c>
      <c r="DI299" t="s">
        <v>1951</v>
      </c>
      <c r="DJ299"/>
      <c r="DK299"/>
      <c r="DL299"/>
      <c r="DM299"/>
      <c r="DN299"/>
      <c r="DO299"/>
      <c r="DP299"/>
      <c r="DQ299"/>
      <c r="DR299"/>
      <c r="DS299"/>
      <c r="DT299"/>
      <c r="DU299"/>
      <c r="DV299"/>
      <c r="DW299"/>
      <c r="DX299"/>
      <c r="DY299"/>
      <c r="DZ299"/>
      <c r="EA299"/>
      <c r="EB299"/>
      <c r="EC299"/>
      <c r="ED299"/>
      <c r="EE299"/>
      <c r="EF299"/>
      <c r="EG299"/>
      <c r="EH299"/>
      <c r="EI299"/>
      <c r="EJ299"/>
      <c r="EK299"/>
      <c r="EL299"/>
      <c r="EM299"/>
      <c r="EN299"/>
      <c r="EO299"/>
      <c r="EP299"/>
      <c r="EQ299"/>
      <c r="ER299">
        <v>187</v>
      </c>
      <c r="ES299"/>
      <c r="ET299"/>
      <c r="EU299"/>
      <c r="EV299" s="439">
        <v>843</v>
      </c>
      <c r="EW299" t="s">
        <v>1371</v>
      </c>
      <c r="EX299" t="s">
        <v>1372</v>
      </c>
      <c r="EY299" t="s">
        <v>1373</v>
      </c>
      <c r="EZ299" t="s">
        <v>54</v>
      </c>
      <c r="FA299">
        <v>56345</v>
      </c>
      <c r="FB299"/>
    </row>
    <row r="300" spans="1:158" x14ac:dyDescent="0.2">
      <c r="A300" s="439">
        <v>1032</v>
      </c>
      <c r="B300" t="s">
        <v>2502</v>
      </c>
      <c r="C300" t="s">
        <v>1110</v>
      </c>
      <c r="D300" t="s">
        <v>2503</v>
      </c>
      <c r="E300" t="s">
        <v>1135</v>
      </c>
      <c r="F300" t="s">
        <v>801</v>
      </c>
      <c r="G300" t="s">
        <v>54</v>
      </c>
      <c r="H300" s="576">
        <v>55433</v>
      </c>
      <c r="I300"/>
      <c r="J300" t="s">
        <v>2503</v>
      </c>
      <c r="K300" t="s">
        <v>1135</v>
      </c>
      <c r="L300" t="s">
        <v>1110</v>
      </c>
      <c r="M300" t="s">
        <v>801</v>
      </c>
      <c r="N300" t="s">
        <v>54</v>
      </c>
      <c r="O300" s="576">
        <v>55433</v>
      </c>
      <c r="P300"/>
      <c r="Q300">
        <v>7637951600</v>
      </c>
      <c r="R300">
        <v>7634210530</v>
      </c>
      <c r="S300" t="s">
        <v>1834</v>
      </c>
      <c r="T300" t="s">
        <v>1835</v>
      </c>
      <c r="U300" t="s">
        <v>1836</v>
      </c>
      <c r="V300"/>
      <c r="W300" t="s">
        <v>2504</v>
      </c>
      <c r="X300" t="s">
        <v>1823</v>
      </c>
      <c r="Y300" t="s">
        <v>1838</v>
      </c>
      <c r="Z300"/>
      <c r="AA300" t="s">
        <v>1839</v>
      </c>
      <c r="AB300">
        <v>6512922014</v>
      </c>
      <c r="AC300"/>
      <c r="AD300">
        <v>6512922131</v>
      </c>
      <c r="AE300" t="s">
        <v>1840</v>
      </c>
      <c r="AF300" t="s">
        <v>1841</v>
      </c>
      <c r="AG300" t="s">
        <v>911</v>
      </c>
      <c r="AH300" t="s">
        <v>1133</v>
      </c>
      <c r="AI300" t="s">
        <v>912</v>
      </c>
      <c r="AJ300" t="s">
        <v>54</v>
      </c>
      <c r="AK300" s="576">
        <v>55113</v>
      </c>
      <c r="AL300" t="s">
        <v>749</v>
      </c>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t="s">
        <v>1823</v>
      </c>
      <c r="BR300" t="s">
        <v>1838</v>
      </c>
      <c r="BS300"/>
      <c r="BT300" t="s">
        <v>1839</v>
      </c>
      <c r="BU300">
        <v>6512922014</v>
      </c>
      <c r="BV300"/>
      <c r="BW300">
        <v>6512922131</v>
      </c>
      <c r="BX300" t="s">
        <v>1840</v>
      </c>
      <c r="BY300" t="s">
        <v>1841</v>
      </c>
      <c r="BZ300" t="s">
        <v>911</v>
      </c>
      <c r="CA300" t="s">
        <v>1133</v>
      </c>
      <c r="CB300" t="s">
        <v>912</v>
      </c>
      <c r="CC300" t="s">
        <v>54</v>
      </c>
      <c r="CD300" s="576">
        <v>55113</v>
      </c>
      <c r="CE300" t="s">
        <v>749</v>
      </c>
      <c r="CF300" t="s">
        <v>1944</v>
      </c>
      <c r="CG300" t="s">
        <v>1843</v>
      </c>
      <c r="CH300" t="s">
        <v>141</v>
      </c>
      <c r="CI300"/>
      <c r="CJ300"/>
      <c r="CK300"/>
      <c r="CL300"/>
      <c r="CM300">
        <v>1427008937</v>
      </c>
      <c r="CN300">
        <v>2049</v>
      </c>
      <c r="CO300">
        <v>140</v>
      </c>
      <c r="CP300"/>
      <c r="CQ300"/>
      <c r="CR300">
        <v>140</v>
      </c>
      <c r="CS300" t="s">
        <v>788</v>
      </c>
      <c r="CT300">
        <v>12</v>
      </c>
      <c r="CU300"/>
      <c r="CV300"/>
      <c r="CW300"/>
      <c r="CX300"/>
      <c r="CY300"/>
      <c r="CZ300"/>
      <c r="DA300"/>
      <c r="DB300"/>
      <c r="DC300"/>
      <c r="DD300">
        <v>128</v>
      </c>
      <c r="DE300" t="s">
        <v>2505</v>
      </c>
      <c r="DF300">
        <v>131</v>
      </c>
      <c r="DG300" t="s">
        <v>2506</v>
      </c>
      <c r="DH300">
        <v>129</v>
      </c>
      <c r="DI300" t="s">
        <v>2505</v>
      </c>
      <c r="DJ300">
        <v>130</v>
      </c>
      <c r="DK300" t="s">
        <v>888</v>
      </c>
      <c r="DL300"/>
      <c r="DM300"/>
      <c r="DN300"/>
      <c r="DO300"/>
      <c r="DP300"/>
      <c r="DQ300"/>
      <c r="DR300"/>
      <c r="DS300"/>
      <c r="DT300"/>
      <c r="DU300"/>
      <c r="DV300"/>
      <c r="DW300"/>
      <c r="DX300"/>
      <c r="DY300"/>
      <c r="DZ300"/>
      <c r="EA300"/>
      <c r="EB300"/>
      <c r="EC300"/>
      <c r="ED300"/>
      <c r="EE300"/>
      <c r="EF300"/>
      <c r="EG300"/>
      <c r="EH300"/>
      <c r="EI300"/>
      <c r="EJ300"/>
      <c r="EK300"/>
      <c r="EL300"/>
      <c r="EM300"/>
      <c r="EN300"/>
      <c r="EO300"/>
      <c r="EP300"/>
      <c r="EQ300"/>
      <c r="ER300">
        <v>187</v>
      </c>
      <c r="ES300"/>
      <c r="ET300"/>
      <c r="EU300"/>
      <c r="EV300" s="439">
        <v>136</v>
      </c>
      <c r="EW300" t="s">
        <v>2983</v>
      </c>
      <c r="EX300" t="s">
        <v>1372</v>
      </c>
      <c r="EY300" t="s">
        <v>2984</v>
      </c>
      <c r="EZ300" t="s">
        <v>54</v>
      </c>
      <c r="FA300">
        <v>56345</v>
      </c>
      <c r="FB300">
        <v>1780630939</v>
      </c>
    </row>
    <row r="301" spans="1:158" x14ac:dyDescent="0.2">
      <c r="A301" s="439">
        <v>551</v>
      </c>
      <c r="B301" t="s">
        <v>2507</v>
      </c>
      <c r="C301" t="s">
        <v>829</v>
      </c>
      <c r="D301" t="s">
        <v>2508</v>
      </c>
      <c r="E301" t="s">
        <v>1692</v>
      </c>
      <c r="F301" t="s">
        <v>744</v>
      </c>
      <c r="G301" t="s">
        <v>54</v>
      </c>
      <c r="H301" s="576">
        <v>55369</v>
      </c>
      <c r="I301"/>
      <c r="J301" t="s">
        <v>2508</v>
      </c>
      <c r="K301" t="s">
        <v>1692</v>
      </c>
      <c r="L301" t="s">
        <v>829</v>
      </c>
      <c r="M301" t="s">
        <v>744</v>
      </c>
      <c r="N301" t="s">
        <v>54</v>
      </c>
      <c r="O301" s="576">
        <v>55369</v>
      </c>
      <c r="P301"/>
      <c r="Q301">
        <v>7634167888</v>
      </c>
      <c r="R301">
        <v>7634167889</v>
      </c>
      <c r="S301" t="s">
        <v>1834</v>
      </c>
      <c r="T301" t="s">
        <v>1835</v>
      </c>
      <c r="U301" t="s">
        <v>1836</v>
      </c>
      <c r="V301"/>
      <c r="W301" t="s">
        <v>1837</v>
      </c>
      <c r="X301" t="s">
        <v>1823</v>
      </c>
      <c r="Y301" t="s">
        <v>1838</v>
      </c>
      <c r="Z301"/>
      <c r="AA301" t="s">
        <v>1839</v>
      </c>
      <c r="AB301">
        <v>6512922014</v>
      </c>
      <c r="AC301"/>
      <c r="AD301">
        <v>6512922131</v>
      </c>
      <c r="AE301" t="s">
        <v>1840</v>
      </c>
      <c r="AF301" t="s">
        <v>1841</v>
      </c>
      <c r="AG301" t="s">
        <v>911</v>
      </c>
      <c r="AH301" t="s">
        <v>1133</v>
      </c>
      <c r="AI301" t="s">
        <v>912</v>
      </c>
      <c r="AJ301" t="s">
        <v>54</v>
      </c>
      <c r="AK301" s="576">
        <v>55113</v>
      </c>
      <c r="AL301" t="s">
        <v>749</v>
      </c>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c r="BR301"/>
      <c r="BS301"/>
      <c r="BT301"/>
      <c r="BU301"/>
      <c r="BV301"/>
      <c r="BW301"/>
      <c r="BX301"/>
      <c r="BY301"/>
      <c r="BZ301"/>
      <c r="CA301"/>
      <c r="CB301"/>
      <c r="CC301"/>
      <c r="CD301"/>
      <c r="CE301"/>
      <c r="CF301" t="s">
        <v>2509</v>
      </c>
      <c r="CG301" t="s">
        <v>1843</v>
      </c>
      <c r="CH301" t="s">
        <v>141</v>
      </c>
      <c r="CI301"/>
      <c r="CJ301"/>
      <c r="CK301"/>
      <c r="CL301"/>
      <c r="CM301">
        <v>1427008937</v>
      </c>
      <c r="CN301">
        <v>420</v>
      </c>
      <c r="CO301">
        <v>140</v>
      </c>
      <c r="CP301"/>
      <c r="CQ301"/>
      <c r="CR301"/>
      <c r="CS301" t="s">
        <v>788</v>
      </c>
      <c r="CT301">
        <v>12</v>
      </c>
      <c r="CU301"/>
      <c r="CV301"/>
      <c r="CW301"/>
      <c r="CX301"/>
      <c r="CY301"/>
      <c r="CZ301"/>
      <c r="DA301"/>
      <c r="DB301"/>
      <c r="DC301"/>
      <c r="DD301">
        <v>128</v>
      </c>
      <c r="DE301" t="s">
        <v>2510</v>
      </c>
      <c r="DF301"/>
      <c r="DG301"/>
      <c r="DH301">
        <v>129</v>
      </c>
      <c r="DI301" t="s">
        <v>2511</v>
      </c>
      <c r="DJ301"/>
      <c r="DK301"/>
      <c r="DL301"/>
      <c r="DM301"/>
      <c r="DN301"/>
      <c r="DO301"/>
      <c r="DP301"/>
      <c r="DQ301"/>
      <c r="DR301"/>
      <c r="DS301"/>
      <c r="DT301"/>
      <c r="DU301"/>
      <c r="DV301"/>
      <c r="DW301"/>
      <c r="DX301"/>
      <c r="DY301"/>
      <c r="DZ301"/>
      <c r="EA301"/>
      <c r="EB301"/>
      <c r="EC301"/>
      <c r="ED301"/>
      <c r="EE301"/>
      <c r="EF301"/>
      <c r="EG301"/>
      <c r="EH301"/>
      <c r="EI301"/>
      <c r="EJ301"/>
      <c r="EK301"/>
      <c r="EL301"/>
      <c r="EM301"/>
      <c r="EN301"/>
      <c r="EO301"/>
      <c r="EP301"/>
      <c r="EQ301"/>
      <c r="ER301">
        <v>187</v>
      </c>
      <c r="ES301"/>
      <c r="ET301"/>
      <c r="EU301"/>
      <c r="EV301" s="439">
        <v>76</v>
      </c>
      <c r="EW301" t="s">
        <v>2985</v>
      </c>
      <c r="EX301" t="s">
        <v>1234</v>
      </c>
      <c r="EY301" t="s">
        <v>2986</v>
      </c>
      <c r="EZ301" t="s">
        <v>54</v>
      </c>
      <c r="FA301">
        <v>56347</v>
      </c>
      <c r="FB301">
        <v>1164471678</v>
      </c>
    </row>
    <row r="302" spans="1:158" x14ac:dyDescent="0.2">
      <c r="A302" s="439">
        <v>749</v>
      </c>
      <c r="B302" t="s">
        <v>2512</v>
      </c>
      <c r="C302" t="s">
        <v>1029</v>
      </c>
      <c r="D302" t="s">
        <v>2513</v>
      </c>
      <c r="E302"/>
      <c r="F302" t="s">
        <v>912</v>
      </c>
      <c r="G302" t="s">
        <v>54</v>
      </c>
      <c r="H302" s="576">
        <v>55104</v>
      </c>
      <c r="I302"/>
      <c r="J302" t="s">
        <v>2514</v>
      </c>
      <c r="K302" t="s">
        <v>831</v>
      </c>
      <c r="L302" t="s">
        <v>835</v>
      </c>
      <c r="M302" t="s">
        <v>838</v>
      </c>
      <c r="N302" t="s">
        <v>54</v>
      </c>
      <c r="O302" s="576">
        <v>55125</v>
      </c>
      <c r="P302"/>
      <c r="Q302">
        <v>6519685276</v>
      </c>
      <c r="R302">
        <v>6517303988</v>
      </c>
      <c r="S302" t="s">
        <v>748</v>
      </c>
      <c r="T302" t="s">
        <v>2515</v>
      </c>
      <c r="U302" t="s">
        <v>1456</v>
      </c>
      <c r="V302" t="s">
        <v>2516</v>
      </c>
      <c r="W302" t="s">
        <v>2517</v>
      </c>
      <c r="X302" t="s">
        <v>1578</v>
      </c>
      <c r="Y302" t="s">
        <v>2518</v>
      </c>
      <c r="Z302" t="s">
        <v>2519</v>
      </c>
      <c r="AA302" t="s">
        <v>2520</v>
      </c>
      <c r="AB302">
        <v>6519685936</v>
      </c>
      <c r="AC302"/>
      <c r="AD302"/>
      <c r="AE302" t="s">
        <v>2521</v>
      </c>
      <c r="AF302" t="s">
        <v>2514</v>
      </c>
      <c r="AG302" t="s">
        <v>831</v>
      </c>
      <c r="AH302" t="s">
        <v>835</v>
      </c>
      <c r="AI302" t="s">
        <v>838</v>
      </c>
      <c r="AJ302" t="s">
        <v>54</v>
      </c>
      <c r="AK302" s="576">
        <v>55125</v>
      </c>
      <c r="AL302"/>
      <c r="AM302" t="s">
        <v>2522</v>
      </c>
      <c r="AN302" t="s">
        <v>2523</v>
      </c>
      <c r="AO302" t="s">
        <v>2524</v>
      </c>
      <c r="AP302" t="s">
        <v>2520</v>
      </c>
      <c r="AQ302">
        <v>6519685630</v>
      </c>
      <c r="AR302"/>
      <c r="AS302">
        <v>6519685900</v>
      </c>
      <c r="AT302" t="s">
        <v>2525</v>
      </c>
      <c r="AU302" t="s">
        <v>2514</v>
      </c>
      <c r="AV302" t="s">
        <v>831</v>
      </c>
      <c r="AW302" t="s">
        <v>835</v>
      </c>
      <c r="AX302" t="s">
        <v>838</v>
      </c>
      <c r="AY302" t="s">
        <v>54</v>
      </c>
      <c r="AZ302" s="576">
        <v>55125</v>
      </c>
      <c r="BA302"/>
      <c r="BB302" t="s">
        <v>2526</v>
      </c>
      <c r="BC302" t="s">
        <v>2527</v>
      </c>
      <c r="BD302" t="s">
        <v>1868</v>
      </c>
      <c r="BE302" t="s">
        <v>2520</v>
      </c>
      <c r="BF302">
        <v>6519685661</v>
      </c>
      <c r="BG302"/>
      <c r="BH302">
        <v>6519685902</v>
      </c>
      <c r="BI302" t="s">
        <v>2528</v>
      </c>
      <c r="BJ302" t="s">
        <v>2514</v>
      </c>
      <c r="BK302" t="s">
        <v>831</v>
      </c>
      <c r="BL302" t="s">
        <v>835</v>
      </c>
      <c r="BM302" t="s">
        <v>838</v>
      </c>
      <c r="BN302" t="s">
        <v>54</v>
      </c>
      <c r="BO302" s="576">
        <v>55125</v>
      </c>
      <c r="BP302"/>
      <c r="BQ302"/>
      <c r="BR302"/>
      <c r="BS302"/>
      <c r="BT302"/>
      <c r="BU302"/>
      <c r="BV302"/>
      <c r="BW302"/>
      <c r="BX302"/>
      <c r="BY302"/>
      <c r="BZ302"/>
      <c r="CA302"/>
      <c r="CB302"/>
      <c r="CC302"/>
      <c r="CD302"/>
      <c r="CE302"/>
      <c r="CF302" t="s">
        <v>2529</v>
      </c>
      <c r="CG302" t="s">
        <v>2520</v>
      </c>
      <c r="CH302" t="s">
        <v>141</v>
      </c>
      <c r="CI302"/>
      <c r="CJ302"/>
      <c r="CK302"/>
      <c r="CL302"/>
      <c r="CM302">
        <v>1306899463</v>
      </c>
      <c r="CN302">
        <v>194</v>
      </c>
      <c r="CO302">
        <v>2945</v>
      </c>
      <c r="CP302">
        <v>2947</v>
      </c>
      <c r="CQ302">
        <v>2948</v>
      </c>
      <c r="CR302"/>
      <c r="CS302" t="s">
        <v>788</v>
      </c>
      <c r="CT302">
        <v>12</v>
      </c>
      <c r="CU302"/>
      <c r="CV302"/>
      <c r="CW302"/>
      <c r="CX302"/>
      <c r="CY302"/>
      <c r="CZ302"/>
      <c r="DA302"/>
      <c r="DB302"/>
      <c r="DC302"/>
      <c r="DD302">
        <v>128</v>
      </c>
      <c r="DE302" t="s">
        <v>2530</v>
      </c>
      <c r="DF302"/>
      <c r="DG302"/>
      <c r="DH302"/>
      <c r="DI302"/>
      <c r="DJ302"/>
      <c r="DK302"/>
      <c r="DL302"/>
      <c r="DM302"/>
      <c r="DN302"/>
      <c r="DO302"/>
      <c r="DP302"/>
      <c r="DQ302"/>
      <c r="DR302"/>
      <c r="DS302"/>
      <c r="DT302"/>
      <c r="DU302"/>
      <c r="DV302"/>
      <c r="DW302"/>
      <c r="DX302"/>
      <c r="DY302"/>
      <c r="DZ302"/>
      <c r="EA302"/>
      <c r="EB302"/>
      <c r="EC302"/>
      <c r="ED302"/>
      <c r="EE302"/>
      <c r="EF302"/>
      <c r="EG302"/>
      <c r="EH302"/>
      <c r="EI302"/>
      <c r="EJ302"/>
      <c r="EK302"/>
      <c r="EL302"/>
      <c r="EM302"/>
      <c r="EN302"/>
      <c r="EO302"/>
      <c r="EP302"/>
      <c r="EQ302"/>
      <c r="ER302">
        <v>45</v>
      </c>
      <c r="ES302"/>
      <c r="ET302"/>
      <c r="EU302"/>
      <c r="EV302" s="439">
        <v>844</v>
      </c>
      <c r="EW302" t="s">
        <v>1233</v>
      </c>
      <c r="EX302" t="s">
        <v>1234</v>
      </c>
      <c r="EY302" t="s">
        <v>1235</v>
      </c>
      <c r="EZ302" t="s">
        <v>54</v>
      </c>
      <c r="FA302">
        <v>56347</v>
      </c>
      <c r="FB302"/>
    </row>
    <row r="303" spans="1:158" x14ac:dyDescent="0.2">
      <c r="A303" s="439">
        <v>777</v>
      </c>
      <c r="B303" t="s">
        <v>2531</v>
      </c>
      <c r="C303" t="s">
        <v>822</v>
      </c>
      <c r="D303" t="s">
        <v>2532</v>
      </c>
      <c r="E303"/>
      <c r="F303" t="s">
        <v>746</v>
      </c>
      <c r="G303" t="s">
        <v>54</v>
      </c>
      <c r="H303" s="576">
        <v>55121</v>
      </c>
      <c r="I303"/>
      <c r="J303" t="s">
        <v>2514</v>
      </c>
      <c r="K303" t="s">
        <v>831</v>
      </c>
      <c r="L303" t="s">
        <v>835</v>
      </c>
      <c r="M303" t="s">
        <v>838</v>
      </c>
      <c r="N303" t="s">
        <v>54</v>
      </c>
      <c r="O303" s="576">
        <v>55125</v>
      </c>
      <c r="P303"/>
      <c r="Q303">
        <v>6519685216</v>
      </c>
      <c r="R303">
        <v>6517303501</v>
      </c>
      <c r="S303" t="s">
        <v>748</v>
      </c>
      <c r="T303" t="s">
        <v>2515</v>
      </c>
      <c r="U303" t="s">
        <v>1456</v>
      </c>
      <c r="V303" t="s">
        <v>2516</v>
      </c>
      <c r="W303" t="s">
        <v>2517</v>
      </c>
      <c r="X303" t="s">
        <v>1578</v>
      </c>
      <c r="Y303" t="s">
        <v>2518</v>
      </c>
      <c r="Z303" t="s">
        <v>2519</v>
      </c>
      <c r="AA303" t="s">
        <v>2520</v>
      </c>
      <c r="AB303">
        <v>6519685936</v>
      </c>
      <c r="AC303"/>
      <c r="AD303"/>
      <c r="AE303" t="s">
        <v>2521</v>
      </c>
      <c r="AF303" t="s">
        <v>2514</v>
      </c>
      <c r="AG303" t="s">
        <v>831</v>
      </c>
      <c r="AH303" t="s">
        <v>835</v>
      </c>
      <c r="AI303" t="s">
        <v>838</v>
      </c>
      <c r="AJ303" t="s">
        <v>54</v>
      </c>
      <c r="AK303" s="576">
        <v>55125</v>
      </c>
      <c r="AL303"/>
      <c r="AM303" t="s">
        <v>2522</v>
      </c>
      <c r="AN303" t="s">
        <v>2523</v>
      </c>
      <c r="AO303" t="s">
        <v>2524</v>
      </c>
      <c r="AP303" t="s">
        <v>2520</v>
      </c>
      <c r="AQ303">
        <v>6519685630</v>
      </c>
      <c r="AR303"/>
      <c r="AS303">
        <v>6519685900</v>
      </c>
      <c r="AT303" t="s">
        <v>2525</v>
      </c>
      <c r="AU303" t="s">
        <v>2514</v>
      </c>
      <c r="AV303" t="s">
        <v>831</v>
      </c>
      <c r="AW303" t="s">
        <v>835</v>
      </c>
      <c r="AX303" t="s">
        <v>838</v>
      </c>
      <c r="AY303" t="s">
        <v>54</v>
      </c>
      <c r="AZ303" s="576">
        <v>55125</v>
      </c>
      <c r="BA303"/>
      <c r="BB303" t="s">
        <v>2526</v>
      </c>
      <c r="BC303" t="s">
        <v>2527</v>
      </c>
      <c r="BD303" t="s">
        <v>1868</v>
      </c>
      <c r="BE303" t="s">
        <v>2520</v>
      </c>
      <c r="BF303">
        <v>6519685661</v>
      </c>
      <c r="BG303"/>
      <c r="BH303">
        <v>6519685902</v>
      </c>
      <c r="BI303" t="s">
        <v>2528</v>
      </c>
      <c r="BJ303" t="s">
        <v>2514</v>
      </c>
      <c r="BK303" t="s">
        <v>831</v>
      </c>
      <c r="BL303" t="s">
        <v>835</v>
      </c>
      <c r="BM303" t="s">
        <v>838</v>
      </c>
      <c r="BN303" t="s">
        <v>54</v>
      </c>
      <c r="BO303" s="576">
        <v>55125</v>
      </c>
      <c r="BP303"/>
      <c r="BQ303"/>
      <c r="BR303"/>
      <c r="BS303"/>
      <c r="BT303"/>
      <c r="BU303"/>
      <c r="BV303"/>
      <c r="BW303"/>
      <c r="BX303"/>
      <c r="BY303"/>
      <c r="BZ303"/>
      <c r="CA303"/>
      <c r="CB303"/>
      <c r="CC303"/>
      <c r="CD303"/>
      <c r="CE303"/>
      <c r="CF303" t="s">
        <v>2529</v>
      </c>
      <c r="CG303" t="s">
        <v>2520</v>
      </c>
      <c r="CH303" t="s">
        <v>141</v>
      </c>
      <c r="CI303"/>
      <c r="CJ303"/>
      <c r="CK303"/>
      <c r="CL303"/>
      <c r="CM303">
        <v>1306899463</v>
      </c>
      <c r="CN303">
        <v>194</v>
      </c>
      <c r="CO303">
        <v>2945</v>
      </c>
      <c r="CP303">
        <v>2947</v>
      </c>
      <c r="CQ303">
        <v>2948</v>
      </c>
      <c r="CR303"/>
      <c r="CS303" t="s">
        <v>788</v>
      </c>
      <c r="CT303">
        <v>12</v>
      </c>
      <c r="CU303"/>
      <c r="CV303"/>
      <c r="CW303"/>
      <c r="CX303"/>
      <c r="CY303"/>
      <c r="CZ303"/>
      <c r="DA303"/>
      <c r="DB303"/>
      <c r="DC303"/>
      <c r="DD303">
        <v>128</v>
      </c>
      <c r="DE303" t="s">
        <v>2533</v>
      </c>
      <c r="DF303"/>
      <c r="DG303"/>
      <c r="DH303"/>
      <c r="DI303"/>
      <c r="DJ303"/>
      <c r="DK303"/>
      <c r="DL303"/>
      <c r="DM303"/>
      <c r="DN303"/>
      <c r="DO303"/>
      <c r="DP303"/>
      <c r="DQ303"/>
      <c r="DR303"/>
      <c r="DS303"/>
      <c r="DT303"/>
      <c r="DU303"/>
      <c r="DV303"/>
      <c r="DW303"/>
      <c r="DX303"/>
      <c r="DY303"/>
      <c r="DZ303"/>
      <c r="EA303"/>
      <c r="EB303"/>
      <c r="EC303"/>
      <c r="ED303"/>
      <c r="EE303"/>
      <c r="EF303"/>
      <c r="EG303"/>
      <c r="EH303"/>
      <c r="EI303"/>
      <c r="EJ303"/>
      <c r="EK303"/>
      <c r="EL303"/>
      <c r="EM303"/>
      <c r="EN303"/>
      <c r="EO303"/>
      <c r="EP303"/>
      <c r="EQ303"/>
      <c r="ER303">
        <v>45</v>
      </c>
      <c r="ES303"/>
      <c r="ET303"/>
      <c r="EU303"/>
      <c r="EV303" s="439">
        <v>21</v>
      </c>
      <c r="EW303" t="s">
        <v>2987</v>
      </c>
      <c r="EX303" t="s">
        <v>2988</v>
      </c>
      <c r="EY303" t="s">
        <v>2989</v>
      </c>
      <c r="EZ303" t="s">
        <v>54</v>
      </c>
      <c r="FA303">
        <v>56156</v>
      </c>
      <c r="FB303">
        <v>1497703045</v>
      </c>
    </row>
    <row r="304" spans="1:158" x14ac:dyDescent="0.2">
      <c r="A304" s="439">
        <v>1462</v>
      </c>
      <c r="B304" t="s">
        <v>2534</v>
      </c>
      <c r="C304" t="s">
        <v>747</v>
      </c>
      <c r="D304" t="s">
        <v>2535</v>
      </c>
      <c r="E304"/>
      <c r="F304" t="s">
        <v>746</v>
      </c>
      <c r="G304" t="s">
        <v>54</v>
      </c>
      <c r="H304" s="576">
        <v>55044</v>
      </c>
      <c r="I304"/>
      <c r="J304" t="s">
        <v>2514</v>
      </c>
      <c r="K304" t="s">
        <v>831</v>
      </c>
      <c r="L304" t="s">
        <v>835</v>
      </c>
      <c r="M304" t="s">
        <v>838</v>
      </c>
      <c r="N304" t="s">
        <v>54</v>
      </c>
      <c r="O304" s="576">
        <v>55125</v>
      </c>
      <c r="P304"/>
      <c r="Q304">
        <v>6519685925</v>
      </c>
      <c r="R304"/>
      <c r="S304" t="s">
        <v>748</v>
      </c>
      <c r="T304" t="s">
        <v>2515</v>
      </c>
      <c r="U304" t="s">
        <v>1456</v>
      </c>
      <c r="V304" t="s">
        <v>2516</v>
      </c>
      <c r="W304" t="s">
        <v>2517</v>
      </c>
      <c r="X304" t="s">
        <v>1578</v>
      </c>
      <c r="Y304" t="s">
        <v>2518</v>
      </c>
      <c r="Z304" t="s">
        <v>2519</v>
      </c>
      <c r="AA304" t="s">
        <v>2520</v>
      </c>
      <c r="AB304">
        <v>6519685936</v>
      </c>
      <c r="AC304"/>
      <c r="AD304"/>
      <c r="AE304" t="s">
        <v>2521</v>
      </c>
      <c r="AF304" t="s">
        <v>2514</v>
      </c>
      <c r="AG304" t="s">
        <v>831</v>
      </c>
      <c r="AH304" t="s">
        <v>835</v>
      </c>
      <c r="AI304" t="s">
        <v>838</v>
      </c>
      <c r="AJ304" t="s">
        <v>54</v>
      </c>
      <c r="AK304" s="576">
        <v>55125</v>
      </c>
      <c r="AL304"/>
      <c r="AM304" t="s">
        <v>2522</v>
      </c>
      <c r="AN304" t="s">
        <v>2523</v>
      </c>
      <c r="AO304" t="s">
        <v>2524</v>
      </c>
      <c r="AP304" t="s">
        <v>2520</v>
      </c>
      <c r="AQ304">
        <v>6519685630</v>
      </c>
      <c r="AR304"/>
      <c r="AS304">
        <v>6519685900</v>
      </c>
      <c r="AT304" t="s">
        <v>2525</v>
      </c>
      <c r="AU304" t="s">
        <v>2514</v>
      </c>
      <c r="AV304" t="s">
        <v>831</v>
      </c>
      <c r="AW304" t="s">
        <v>835</v>
      </c>
      <c r="AX304" t="s">
        <v>838</v>
      </c>
      <c r="AY304" t="s">
        <v>54</v>
      </c>
      <c r="AZ304" s="576">
        <v>55125</v>
      </c>
      <c r="BA304"/>
      <c r="BB304" t="s">
        <v>2526</v>
      </c>
      <c r="BC304" t="s">
        <v>2527</v>
      </c>
      <c r="BD304" t="s">
        <v>1868</v>
      </c>
      <c r="BE304" t="s">
        <v>2520</v>
      </c>
      <c r="BF304">
        <v>6519685661</v>
      </c>
      <c r="BG304"/>
      <c r="BH304">
        <v>6519685902</v>
      </c>
      <c r="BI304" t="s">
        <v>2528</v>
      </c>
      <c r="BJ304" t="s">
        <v>2514</v>
      </c>
      <c r="BK304" t="s">
        <v>831</v>
      </c>
      <c r="BL304" t="s">
        <v>835</v>
      </c>
      <c r="BM304" t="s">
        <v>838</v>
      </c>
      <c r="BN304" t="s">
        <v>54</v>
      </c>
      <c r="BO304" s="576">
        <v>55125</v>
      </c>
      <c r="BP304"/>
      <c r="BQ304"/>
      <c r="BR304"/>
      <c r="BS304"/>
      <c r="BT304"/>
      <c r="BU304"/>
      <c r="BV304"/>
      <c r="BW304"/>
      <c r="BX304"/>
      <c r="BY304"/>
      <c r="BZ304"/>
      <c r="CA304"/>
      <c r="CB304"/>
      <c r="CC304"/>
      <c r="CD304"/>
      <c r="CE304"/>
      <c r="CF304" t="s">
        <v>2529</v>
      </c>
      <c r="CG304" t="s">
        <v>2520</v>
      </c>
      <c r="CH304" t="s">
        <v>141</v>
      </c>
      <c r="CI304"/>
      <c r="CJ304"/>
      <c r="CK304"/>
      <c r="CL304"/>
      <c r="CM304">
        <v>1306899463</v>
      </c>
      <c r="CN304">
        <v>194</v>
      </c>
      <c r="CO304">
        <v>2945</v>
      </c>
      <c r="CP304">
        <v>2947</v>
      </c>
      <c r="CQ304">
        <v>2948</v>
      </c>
      <c r="CR304"/>
      <c r="CS304" t="s">
        <v>788</v>
      </c>
      <c r="CT304">
        <v>12</v>
      </c>
      <c r="CU304"/>
      <c r="CV304"/>
      <c r="CW304"/>
      <c r="CX304"/>
      <c r="CY304"/>
      <c r="CZ304"/>
      <c r="DA304"/>
      <c r="DB304"/>
      <c r="DC304"/>
      <c r="DD304">
        <v>128</v>
      </c>
      <c r="DE304" t="s">
        <v>2536</v>
      </c>
      <c r="DF304"/>
      <c r="DG304"/>
      <c r="DH304"/>
      <c r="DI304"/>
      <c r="DJ304"/>
      <c r="DK304"/>
      <c r="DL304"/>
      <c r="DM304"/>
      <c r="DN304"/>
      <c r="DO304"/>
      <c r="DP304"/>
      <c r="DQ304"/>
      <c r="DR304"/>
      <c r="DS304"/>
      <c r="DT304"/>
      <c r="DU304"/>
      <c r="DV304"/>
      <c r="DW304"/>
      <c r="DX304"/>
      <c r="DY304"/>
      <c r="DZ304"/>
      <c r="EA304"/>
      <c r="EB304"/>
      <c r="EC304"/>
      <c r="ED304"/>
      <c r="EE304"/>
      <c r="EF304"/>
      <c r="EG304"/>
      <c r="EH304"/>
      <c r="EI304"/>
      <c r="EJ304"/>
      <c r="EK304"/>
      <c r="EL304"/>
      <c r="EM304"/>
      <c r="EN304"/>
      <c r="EO304"/>
      <c r="EP304"/>
      <c r="EQ304"/>
      <c r="ER304">
        <v>45</v>
      </c>
      <c r="ES304"/>
      <c r="ET304"/>
      <c r="EU304"/>
      <c r="EV304" s="439">
        <v>77</v>
      </c>
      <c r="EW304" t="s">
        <v>2990</v>
      </c>
      <c r="EX304" t="s">
        <v>2991</v>
      </c>
      <c r="EY304" t="s">
        <v>2992</v>
      </c>
      <c r="EZ304" t="s">
        <v>54</v>
      </c>
      <c r="FA304">
        <v>56062</v>
      </c>
      <c r="FB304">
        <v>1912999137</v>
      </c>
    </row>
    <row r="305" spans="1:158" x14ac:dyDescent="0.2">
      <c r="A305" s="439">
        <v>1058</v>
      </c>
      <c r="B305" t="s">
        <v>2537</v>
      </c>
      <c r="C305" t="s">
        <v>909</v>
      </c>
      <c r="D305" t="s">
        <v>2538</v>
      </c>
      <c r="E305"/>
      <c r="F305" t="s">
        <v>912</v>
      </c>
      <c r="G305" t="s">
        <v>54</v>
      </c>
      <c r="H305" s="576">
        <v>55127</v>
      </c>
      <c r="I305"/>
      <c r="J305" t="s">
        <v>2514</v>
      </c>
      <c r="K305" t="s">
        <v>831</v>
      </c>
      <c r="L305" t="s">
        <v>835</v>
      </c>
      <c r="M305" t="s">
        <v>838</v>
      </c>
      <c r="N305" t="s">
        <v>54</v>
      </c>
      <c r="O305" s="576">
        <v>55125</v>
      </c>
      <c r="P305"/>
      <c r="Q305">
        <v>6519685760</v>
      </c>
      <c r="R305">
        <v>6519685775</v>
      </c>
      <c r="S305" t="s">
        <v>748</v>
      </c>
      <c r="T305" t="s">
        <v>2515</v>
      </c>
      <c r="U305" t="s">
        <v>1456</v>
      </c>
      <c r="V305" t="s">
        <v>2516</v>
      </c>
      <c r="W305" t="s">
        <v>2517</v>
      </c>
      <c r="X305" t="s">
        <v>1578</v>
      </c>
      <c r="Y305" t="s">
        <v>2518</v>
      </c>
      <c r="Z305" t="s">
        <v>2519</v>
      </c>
      <c r="AA305" t="s">
        <v>2520</v>
      </c>
      <c r="AB305">
        <v>6519685936</v>
      </c>
      <c r="AC305"/>
      <c r="AD305"/>
      <c r="AE305" t="s">
        <v>2521</v>
      </c>
      <c r="AF305" t="s">
        <v>2514</v>
      </c>
      <c r="AG305" t="s">
        <v>831</v>
      </c>
      <c r="AH305" t="s">
        <v>835</v>
      </c>
      <c r="AI305" t="s">
        <v>838</v>
      </c>
      <c r="AJ305" t="s">
        <v>54</v>
      </c>
      <c r="AK305" s="576">
        <v>55125</v>
      </c>
      <c r="AL305"/>
      <c r="AM305" t="s">
        <v>2522</v>
      </c>
      <c r="AN305" t="s">
        <v>2523</v>
      </c>
      <c r="AO305" t="s">
        <v>2524</v>
      </c>
      <c r="AP305" t="s">
        <v>2520</v>
      </c>
      <c r="AQ305">
        <v>6519685630</v>
      </c>
      <c r="AR305"/>
      <c r="AS305">
        <v>6519685900</v>
      </c>
      <c r="AT305" t="s">
        <v>2525</v>
      </c>
      <c r="AU305" t="s">
        <v>2514</v>
      </c>
      <c r="AV305" t="s">
        <v>831</v>
      </c>
      <c r="AW305" t="s">
        <v>835</v>
      </c>
      <c r="AX305" t="s">
        <v>838</v>
      </c>
      <c r="AY305" t="s">
        <v>54</v>
      </c>
      <c r="AZ305" s="576">
        <v>55125</v>
      </c>
      <c r="BA305"/>
      <c r="BB305" t="s">
        <v>2526</v>
      </c>
      <c r="BC305" t="s">
        <v>2527</v>
      </c>
      <c r="BD305" t="s">
        <v>1868</v>
      </c>
      <c r="BE305" t="s">
        <v>2520</v>
      </c>
      <c r="BF305">
        <v>6519685661</v>
      </c>
      <c r="BG305"/>
      <c r="BH305">
        <v>6519685902</v>
      </c>
      <c r="BI305" t="s">
        <v>2528</v>
      </c>
      <c r="BJ305" t="s">
        <v>2514</v>
      </c>
      <c r="BK305" t="s">
        <v>831</v>
      </c>
      <c r="BL305" t="s">
        <v>835</v>
      </c>
      <c r="BM305" t="s">
        <v>838</v>
      </c>
      <c r="BN305" t="s">
        <v>54</v>
      </c>
      <c r="BO305" s="576">
        <v>55125</v>
      </c>
      <c r="BP305"/>
      <c r="BQ305"/>
      <c r="BR305"/>
      <c r="BS305"/>
      <c r="BT305"/>
      <c r="BU305"/>
      <c r="BV305"/>
      <c r="BW305"/>
      <c r="BX305"/>
      <c r="BY305"/>
      <c r="BZ305"/>
      <c r="CA305"/>
      <c r="CB305"/>
      <c r="CC305"/>
      <c r="CD305"/>
      <c r="CE305"/>
      <c r="CF305" t="s">
        <v>2529</v>
      </c>
      <c r="CG305" t="s">
        <v>2520</v>
      </c>
      <c r="CH305" t="s">
        <v>141</v>
      </c>
      <c r="CI305"/>
      <c r="CJ305"/>
      <c r="CK305"/>
      <c r="CL305"/>
      <c r="CM305">
        <v>1306899463</v>
      </c>
      <c r="CN305">
        <v>194</v>
      </c>
      <c r="CO305">
        <v>2945</v>
      </c>
      <c r="CP305">
        <v>2947</v>
      </c>
      <c r="CQ305">
        <v>2948</v>
      </c>
      <c r="CR305"/>
      <c r="CS305" t="s">
        <v>788</v>
      </c>
      <c r="CT305">
        <v>12</v>
      </c>
      <c r="CU305"/>
      <c r="CV305"/>
      <c r="CW305"/>
      <c r="CX305"/>
      <c r="CY305"/>
      <c r="CZ305"/>
      <c r="DA305"/>
      <c r="DB305"/>
      <c r="DC305"/>
      <c r="DD305">
        <v>128</v>
      </c>
      <c r="DE305" t="s">
        <v>2539</v>
      </c>
      <c r="DF305"/>
      <c r="DG305"/>
      <c r="DH305"/>
      <c r="DI305"/>
      <c r="DJ305"/>
      <c r="DK305"/>
      <c r="DL305"/>
      <c r="DM305"/>
      <c r="DN305"/>
      <c r="DO305"/>
      <c r="DP305"/>
      <c r="DQ305"/>
      <c r="DR305"/>
      <c r="DS305"/>
      <c r="DT305"/>
      <c r="DU305"/>
      <c r="DV305"/>
      <c r="DW305"/>
      <c r="DX305"/>
      <c r="DY305"/>
      <c r="DZ305"/>
      <c r="EA305"/>
      <c r="EB305"/>
      <c r="EC305"/>
      <c r="ED305"/>
      <c r="EE305"/>
      <c r="EF305"/>
      <c r="EG305"/>
      <c r="EH305"/>
      <c r="EI305"/>
      <c r="EJ305"/>
      <c r="EK305"/>
      <c r="EL305"/>
      <c r="EM305"/>
      <c r="EN305"/>
      <c r="EO305"/>
      <c r="EP305"/>
      <c r="EQ305"/>
      <c r="ER305">
        <v>45</v>
      </c>
      <c r="ES305"/>
      <c r="ET305"/>
      <c r="EU305"/>
      <c r="EV305" s="439">
        <v>964</v>
      </c>
      <c r="EW305" t="s">
        <v>1310</v>
      </c>
      <c r="EX305" t="s">
        <v>1311</v>
      </c>
      <c r="EY305" t="s">
        <v>1312</v>
      </c>
      <c r="EZ305" t="s">
        <v>54</v>
      </c>
      <c r="FA305">
        <v>56256</v>
      </c>
      <c r="FB305"/>
    </row>
    <row r="306" spans="1:158" x14ac:dyDescent="0.2">
      <c r="A306" s="439">
        <v>751</v>
      </c>
      <c r="B306" t="s">
        <v>2540</v>
      </c>
      <c r="C306" t="s">
        <v>835</v>
      </c>
      <c r="D306" t="s">
        <v>2541</v>
      </c>
      <c r="E306"/>
      <c r="F306" t="s">
        <v>838</v>
      </c>
      <c r="G306" t="s">
        <v>54</v>
      </c>
      <c r="H306" s="576">
        <v>55125</v>
      </c>
      <c r="I306"/>
      <c r="J306" t="s">
        <v>2514</v>
      </c>
      <c r="K306" t="s">
        <v>831</v>
      </c>
      <c r="L306" t="s">
        <v>835</v>
      </c>
      <c r="M306" t="s">
        <v>838</v>
      </c>
      <c r="N306" t="s">
        <v>54</v>
      </c>
      <c r="O306" s="576">
        <v>55125</v>
      </c>
      <c r="P306"/>
      <c r="Q306">
        <v>6519685811</v>
      </c>
      <c r="R306">
        <v>6519685897</v>
      </c>
      <c r="S306" t="s">
        <v>748</v>
      </c>
      <c r="T306" t="s">
        <v>2515</v>
      </c>
      <c r="U306" t="s">
        <v>1456</v>
      </c>
      <c r="V306" t="s">
        <v>2516</v>
      </c>
      <c r="W306" t="s">
        <v>2517</v>
      </c>
      <c r="X306" t="s">
        <v>1578</v>
      </c>
      <c r="Y306" t="s">
        <v>2518</v>
      </c>
      <c r="Z306" t="s">
        <v>2519</v>
      </c>
      <c r="AA306" t="s">
        <v>2520</v>
      </c>
      <c r="AB306">
        <v>6519685936</v>
      </c>
      <c r="AC306"/>
      <c r="AD306"/>
      <c r="AE306" t="s">
        <v>2521</v>
      </c>
      <c r="AF306" t="s">
        <v>2514</v>
      </c>
      <c r="AG306" t="s">
        <v>831</v>
      </c>
      <c r="AH306" t="s">
        <v>835</v>
      </c>
      <c r="AI306" t="s">
        <v>838</v>
      </c>
      <c r="AJ306" t="s">
        <v>54</v>
      </c>
      <c r="AK306" s="576">
        <v>55125</v>
      </c>
      <c r="AL306"/>
      <c r="AM306" t="s">
        <v>2522</v>
      </c>
      <c r="AN306" t="s">
        <v>2523</v>
      </c>
      <c r="AO306" t="s">
        <v>2524</v>
      </c>
      <c r="AP306" t="s">
        <v>2520</v>
      </c>
      <c r="AQ306">
        <v>6519685630</v>
      </c>
      <c r="AR306"/>
      <c r="AS306">
        <v>6519685900</v>
      </c>
      <c r="AT306" t="s">
        <v>2525</v>
      </c>
      <c r="AU306" t="s">
        <v>2514</v>
      </c>
      <c r="AV306" t="s">
        <v>831</v>
      </c>
      <c r="AW306" t="s">
        <v>835</v>
      </c>
      <c r="AX306" t="s">
        <v>838</v>
      </c>
      <c r="AY306" t="s">
        <v>54</v>
      </c>
      <c r="AZ306" s="576">
        <v>55125</v>
      </c>
      <c r="BA306"/>
      <c r="BB306" t="s">
        <v>2526</v>
      </c>
      <c r="BC306" t="s">
        <v>2527</v>
      </c>
      <c r="BD306" t="s">
        <v>1868</v>
      </c>
      <c r="BE306" t="s">
        <v>2520</v>
      </c>
      <c r="BF306">
        <v>6519685661</v>
      </c>
      <c r="BG306"/>
      <c r="BH306">
        <v>6519685902</v>
      </c>
      <c r="BI306" t="s">
        <v>2528</v>
      </c>
      <c r="BJ306" t="s">
        <v>2514</v>
      </c>
      <c r="BK306" t="s">
        <v>831</v>
      </c>
      <c r="BL306" t="s">
        <v>835</v>
      </c>
      <c r="BM306" t="s">
        <v>838</v>
      </c>
      <c r="BN306" t="s">
        <v>54</v>
      </c>
      <c r="BO306" s="576">
        <v>55125</v>
      </c>
      <c r="BP306"/>
      <c r="BQ306"/>
      <c r="BR306"/>
      <c r="BS306"/>
      <c r="BT306"/>
      <c r="BU306"/>
      <c r="BV306"/>
      <c r="BW306"/>
      <c r="BX306"/>
      <c r="BY306"/>
      <c r="BZ306"/>
      <c r="CA306"/>
      <c r="CB306"/>
      <c r="CC306"/>
      <c r="CD306"/>
      <c r="CE306"/>
      <c r="CF306" t="s">
        <v>2529</v>
      </c>
      <c r="CG306" t="s">
        <v>2520</v>
      </c>
      <c r="CH306" t="s">
        <v>141</v>
      </c>
      <c r="CI306"/>
      <c r="CJ306"/>
      <c r="CK306"/>
      <c r="CL306"/>
      <c r="CM306">
        <v>1306899463</v>
      </c>
      <c r="CN306">
        <v>194</v>
      </c>
      <c r="CO306">
        <v>2945</v>
      </c>
      <c r="CP306">
        <v>2947</v>
      </c>
      <c r="CQ306">
        <v>2948</v>
      </c>
      <c r="CR306"/>
      <c r="CS306" t="s">
        <v>788</v>
      </c>
      <c r="CT306">
        <v>12</v>
      </c>
      <c r="CU306"/>
      <c r="CV306"/>
      <c r="CW306"/>
      <c r="CX306"/>
      <c r="CY306"/>
      <c r="CZ306"/>
      <c r="DA306"/>
      <c r="DB306"/>
      <c r="DC306"/>
      <c r="DD306">
        <v>128</v>
      </c>
      <c r="DE306" t="s">
        <v>2539</v>
      </c>
      <c r="DF306"/>
      <c r="DG306"/>
      <c r="DH306"/>
      <c r="DI306"/>
      <c r="DJ306"/>
      <c r="DK306"/>
      <c r="DL306"/>
      <c r="DM306"/>
      <c r="DN306">
        <v>133</v>
      </c>
      <c r="DO306" t="s">
        <v>826</v>
      </c>
      <c r="DP306"/>
      <c r="DQ306"/>
      <c r="DR306"/>
      <c r="DS306"/>
      <c r="DT306"/>
      <c r="DU306"/>
      <c r="DV306"/>
      <c r="DW306"/>
      <c r="DX306"/>
      <c r="DY306"/>
      <c r="DZ306"/>
      <c r="EA306"/>
      <c r="EB306"/>
      <c r="EC306"/>
      <c r="ED306"/>
      <c r="EE306"/>
      <c r="EF306"/>
      <c r="EG306"/>
      <c r="EH306"/>
      <c r="EI306"/>
      <c r="EJ306"/>
      <c r="EK306"/>
      <c r="EL306"/>
      <c r="EM306"/>
      <c r="EN306"/>
      <c r="EO306"/>
      <c r="EP306"/>
      <c r="EQ306"/>
      <c r="ER306">
        <v>45</v>
      </c>
      <c r="ES306"/>
      <c r="ET306"/>
      <c r="EU306"/>
      <c r="EV306" s="439">
        <v>78</v>
      </c>
      <c r="EW306" t="s">
        <v>2993</v>
      </c>
      <c r="EX306" t="s">
        <v>1311</v>
      </c>
      <c r="EY306" t="s">
        <v>1312</v>
      </c>
      <c r="EZ306" t="s">
        <v>54</v>
      </c>
      <c r="FA306">
        <v>56256</v>
      </c>
      <c r="FB306">
        <v>1942246848</v>
      </c>
    </row>
    <row r="307" spans="1:158" x14ac:dyDescent="0.2">
      <c r="A307" s="439">
        <v>1433</v>
      </c>
      <c r="B307" t="s">
        <v>2542</v>
      </c>
      <c r="C307" t="s">
        <v>967</v>
      </c>
      <c r="D307" t="s">
        <v>2543</v>
      </c>
      <c r="E307" t="s">
        <v>2544</v>
      </c>
      <c r="F307" t="s">
        <v>744</v>
      </c>
      <c r="G307" t="s">
        <v>54</v>
      </c>
      <c r="H307" s="576">
        <v>55435</v>
      </c>
      <c r="I307" t="s">
        <v>749</v>
      </c>
      <c r="J307" t="s">
        <v>2543</v>
      </c>
      <c r="K307" t="s">
        <v>2544</v>
      </c>
      <c r="L307" t="s">
        <v>967</v>
      </c>
      <c r="M307" t="s">
        <v>744</v>
      </c>
      <c r="N307" t="s">
        <v>54</v>
      </c>
      <c r="O307" s="576">
        <v>55435</v>
      </c>
      <c r="P307" t="s">
        <v>749</v>
      </c>
      <c r="Q307">
        <v>9528325252</v>
      </c>
      <c r="R307">
        <v>9525485254</v>
      </c>
      <c r="S307" t="s">
        <v>2134</v>
      </c>
      <c r="T307" t="s">
        <v>2545</v>
      </c>
      <c r="U307" t="s">
        <v>1556</v>
      </c>
      <c r="V307" t="s">
        <v>2546</v>
      </c>
      <c r="W307" t="s">
        <v>749</v>
      </c>
      <c r="X307" t="s">
        <v>2547</v>
      </c>
      <c r="Y307" t="s">
        <v>2548</v>
      </c>
      <c r="Z307" t="s">
        <v>2549</v>
      </c>
      <c r="AA307" t="s">
        <v>2542</v>
      </c>
      <c r="AB307">
        <v>9527774386</v>
      </c>
      <c r="AC307"/>
      <c r="AD307">
        <v>9525485259</v>
      </c>
      <c r="AE307" t="s">
        <v>2550</v>
      </c>
      <c r="AF307" t="s">
        <v>2543</v>
      </c>
      <c r="AG307" t="s">
        <v>2544</v>
      </c>
      <c r="AH307" t="s">
        <v>967</v>
      </c>
      <c r="AI307" t="s">
        <v>744</v>
      </c>
      <c r="AJ307" t="s">
        <v>54</v>
      </c>
      <c r="AK307" s="576">
        <v>55435</v>
      </c>
      <c r="AL307" t="s">
        <v>749</v>
      </c>
      <c r="AM307" t="s">
        <v>2134</v>
      </c>
      <c r="AN307" t="s">
        <v>2545</v>
      </c>
      <c r="AO307" t="s">
        <v>1556</v>
      </c>
      <c r="AP307" t="s">
        <v>2542</v>
      </c>
      <c r="AQ307">
        <v>9528325252</v>
      </c>
      <c r="AR307"/>
      <c r="AS307"/>
      <c r="AT307" t="s">
        <v>2551</v>
      </c>
      <c r="AU307" t="s">
        <v>2543</v>
      </c>
      <c r="AV307" t="s">
        <v>2544</v>
      </c>
      <c r="AW307" t="s">
        <v>967</v>
      </c>
      <c r="AX307" t="s">
        <v>744</v>
      </c>
      <c r="AY307" t="s">
        <v>54</v>
      </c>
      <c r="AZ307" s="576">
        <v>55435</v>
      </c>
      <c r="BA307" t="s">
        <v>749</v>
      </c>
      <c r="BB307"/>
      <c r="BC307"/>
      <c r="BD307"/>
      <c r="BE307"/>
      <c r="BF307"/>
      <c r="BG307"/>
      <c r="BH307"/>
      <c r="BI307"/>
      <c r="BJ307"/>
      <c r="BK307"/>
      <c r="BL307"/>
      <c r="BM307"/>
      <c r="BN307"/>
      <c r="BO307"/>
      <c r="BP307"/>
      <c r="BQ307"/>
      <c r="BR307"/>
      <c r="BS307"/>
      <c r="BT307"/>
      <c r="BU307"/>
      <c r="BV307"/>
      <c r="BW307"/>
      <c r="BX307"/>
      <c r="BY307"/>
      <c r="BZ307"/>
      <c r="CA307"/>
      <c r="CB307"/>
      <c r="CC307"/>
      <c r="CD307"/>
      <c r="CE307"/>
      <c r="CF307" t="s">
        <v>2552</v>
      </c>
      <c r="CG307" t="s">
        <v>733</v>
      </c>
      <c r="CH307" t="s">
        <v>749</v>
      </c>
      <c r="CI307"/>
      <c r="CJ307"/>
      <c r="CK307"/>
      <c r="CL307"/>
      <c r="CM307">
        <v>1881708030</v>
      </c>
      <c r="CN307">
        <v>2758</v>
      </c>
      <c r="CO307">
        <v>135</v>
      </c>
      <c r="CP307">
        <v>153</v>
      </c>
      <c r="CQ307"/>
      <c r="CR307"/>
      <c r="CS307" t="s">
        <v>788</v>
      </c>
      <c r="CT307">
        <v>12</v>
      </c>
      <c r="CU307"/>
      <c r="CV307"/>
      <c r="CW307"/>
      <c r="CX307" t="s">
        <v>749</v>
      </c>
      <c r="CY307"/>
      <c r="CZ307" t="s">
        <v>749</v>
      </c>
      <c r="DA307" t="s">
        <v>749</v>
      </c>
      <c r="DB307" t="s">
        <v>749</v>
      </c>
      <c r="DC307" t="s">
        <v>749</v>
      </c>
      <c r="DD307"/>
      <c r="DE307"/>
      <c r="DF307"/>
      <c r="DG307"/>
      <c r="DH307"/>
      <c r="DI307"/>
      <c r="DJ307"/>
      <c r="DK307"/>
      <c r="DL307"/>
      <c r="DM307"/>
      <c r="DN307">
        <v>133</v>
      </c>
      <c r="DO307" t="s">
        <v>2553</v>
      </c>
      <c r="DP307"/>
      <c r="DQ307"/>
      <c r="DR307"/>
      <c r="DS307"/>
      <c r="DT307"/>
      <c r="DU307"/>
      <c r="DV307"/>
      <c r="DW307"/>
      <c r="DX307"/>
      <c r="DY307"/>
      <c r="DZ307"/>
      <c r="EA307"/>
      <c r="EB307"/>
      <c r="EC307"/>
      <c r="ED307"/>
      <c r="EE307"/>
      <c r="EF307"/>
      <c r="EG307"/>
      <c r="EH307"/>
      <c r="EI307"/>
      <c r="EJ307"/>
      <c r="EK307"/>
      <c r="EL307"/>
      <c r="EM307"/>
      <c r="EN307"/>
      <c r="EO307"/>
      <c r="EP307"/>
      <c r="EQ307"/>
      <c r="ER307">
        <v>0</v>
      </c>
      <c r="ES307"/>
      <c r="ET307"/>
      <c r="EU307"/>
      <c r="EV307" s="439">
        <v>845</v>
      </c>
      <c r="EW307" t="s">
        <v>1314</v>
      </c>
      <c r="EX307" t="s">
        <v>1315</v>
      </c>
      <c r="EY307" t="s">
        <v>1316</v>
      </c>
      <c r="EZ307" t="s">
        <v>54</v>
      </c>
      <c r="FA307">
        <v>56557</v>
      </c>
      <c r="FB307"/>
    </row>
    <row r="308" spans="1:158" x14ac:dyDescent="0.2">
      <c r="A308" s="439">
        <v>732</v>
      </c>
      <c r="B308" t="s">
        <v>2554</v>
      </c>
      <c r="C308" t="s">
        <v>1856</v>
      </c>
      <c r="D308" t="s">
        <v>2555</v>
      </c>
      <c r="E308"/>
      <c r="F308" t="s">
        <v>1382</v>
      </c>
      <c r="G308" t="s">
        <v>54</v>
      </c>
      <c r="H308" s="576">
        <v>56001</v>
      </c>
      <c r="I308"/>
      <c r="J308" t="s">
        <v>2555</v>
      </c>
      <c r="K308"/>
      <c r="L308" t="s">
        <v>1856</v>
      </c>
      <c r="M308" t="s">
        <v>1382</v>
      </c>
      <c r="N308" t="s">
        <v>54</v>
      </c>
      <c r="O308" s="576">
        <v>56001</v>
      </c>
      <c r="P308"/>
      <c r="Q308">
        <v>5073866600</v>
      </c>
      <c r="R308">
        <v>5073860252</v>
      </c>
      <c r="S308" t="s">
        <v>2050</v>
      </c>
      <c r="T308" t="s">
        <v>2556</v>
      </c>
      <c r="U308" t="s">
        <v>742</v>
      </c>
      <c r="V308" t="s">
        <v>2557</v>
      </c>
      <c r="W308" t="s">
        <v>2558</v>
      </c>
      <c r="X308" t="s">
        <v>2050</v>
      </c>
      <c r="Y308" t="s">
        <v>2556</v>
      </c>
      <c r="Z308" t="s">
        <v>742</v>
      </c>
      <c r="AA308" t="s">
        <v>2554</v>
      </c>
      <c r="AB308">
        <v>5073866759</v>
      </c>
      <c r="AC308"/>
      <c r="AD308">
        <v>5073860252</v>
      </c>
      <c r="AE308" t="s">
        <v>2557</v>
      </c>
      <c r="AF308" t="s">
        <v>2555</v>
      </c>
      <c r="AG308"/>
      <c r="AH308" t="s">
        <v>1856</v>
      </c>
      <c r="AI308" t="s">
        <v>1382</v>
      </c>
      <c r="AJ308" t="s">
        <v>54</v>
      </c>
      <c r="AK308" s="576">
        <v>56001</v>
      </c>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c r="BR308"/>
      <c r="BS308"/>
      <c r="BT308"/>
      <c r="BU308"/>
      <c r="BV308"/>
      <c r="BW308"/>
      <c r="BX308"/>
      <c r="BY308"/>
      <c r="BZ308"/>
      <c r="CA308"/>
      <c r="CB308"/>
      <c r="CC308"/>
      <c r="CD308"/>
      <c r="CE308"/>
      <c r="CF308" t="s">
        <v>2559</v>
      </c>
      <c r="CG308" t="s">
        <v>733</v>
      </c>
      <c r="CH308" t="s">
        <v>56</v>
      </c>
      <c r="CI308"/>
      <c r="CJ308"/>
      <c r="CK308"/>
      <c r="CL308"/>
      <c r="CM308">
        <v>1659346609</v>
      </c>
      <c r="CN308">
        <v>321</v>
      </c>
      <c r="CO308">
        <v>228</v>
      </c>
      <c r="CP308"/>
      <c r="CQ308"/>
      <c r="CR308"/>
      <c r="CS308" t="s">
        <v>788</v>
      </c>
      <c r="CT308">
        <v>12</v>
      </c>
      <c r="CU308">
        <v>95</v>
      </c>
      <c r="CV308"/>
      <c r="CW308"/>
      <c r="CX308"/>
      <c r="CY308"/>
      <c r="CZ308"/>
      <c r="DA308"/>
      <c r="DB308"/>
      <c r="DC308"/>
      <c r="DD308"/>
      <c r="DE308"/>
      <c r="DF308"/>
      <c r="DG308"/>
      <c r="DH308"/>
      <c r="DI308"/>
      <c r="DJ308"/>
      <c r="DK308"/>
      <c r="DL308"/>
      <c r="DM308"/>
      <c r="DN308"/>
      <c r="DO308"/>
      <c r="DP308"/>
      <c r="DQ308"/>
      <c r="DR308"/>
      <c r="DS308"/>
      <c r="DT308"/>
      <c r="DU308"/>
      <c r="DV308"/>
      <c r="DW308"/>
      <c r="DX308"/>
      <c r="DY308"/>
      <c r="DZ308"/>
      <c r="EA308"/>
      <c r="EB308"/>
      <c r="EC308"/>
      <c r="ED308"/>
      <c r="EE308"/>
      <c r="EF308"/>
      <c r="EG308"/>
      <c r="EH308"/>
      <c r="EI308"/>
      <c r="EJ308">
        <v>215</v>
      </c>
      <c r="EK308" t="s">
        <v>2560</v>
      </c>
      <c r="EL308"/>
      <c r="EM308"/>
      <c r="EN308"/>
      <c r="EO308"/>
      <c r="EP308"/>
      <c r="EQ308"/>
      <c r="ER308">
        <v>0</v>
      </c>
      <c r="ES308"/>
      <c r="ET308"/>
      <c r="EU308"/>
      <c r="EV308" s="439">
        <v>79</v>
      </c>
      <c r="EW308" t="s">
        <v>2994</v>
      </c>
      <c r="EX308" t="s">
        <v>1315</v>
      </c>
      <c r="EY308" t="s">
        <v>1316</v>
      </c>
      <c r="EZ308" t="s">
        <v>54</v>
      </c>
      <c r="FA308">
        <v>56557</v>
      </c>
      <c r="FB308">
        <v>1942233234</v>
      </c>
    </row>
    <row r="309" spans="1:158" x14ac:dyDescent="0.2">
      <c r="A309" s="439">
        <v>1659</v>
      </c>
      <c r="B309" t="s">
        <v>2561</v>
      </c>
      <c r="C309" t="s">
        <v>2562</v>
      </c>
      <c r="D309" t="s">
        <v>2563</v>
      </c>
      <c r="E309"/>
      <c r="F309"/>
      <c r="G309" t="s">
        <v>2222</v>
      </c>
      <c r="H309" s="576">
        <v>33914</v>
      </c>
      <c r="I309"/>
      <c r="J309" t="s">
        <v>2564</v>
      </c>
      <c r="K309"/>
      <c r="L309" t="s">
        <v>2562</v>
      </c>
      <c r="M309"/>
      <c r="N309" t="s">
        <v>2222</v>
      </c>
      <c r="O309" s="576">
        <v>33914</v>
      </c>
      <c r="P309"/>
      <c r="Q309">
        <v>9522501969</v>
      </c>
      <c r="R309"/>
      <c r="S309" t="s">
        <v>2461</v>
      </c>
      <c r="T309" t="s">
        <v>2066</v>
      </c>
      <c r="U309" t="s">
        <v>2565</v>
      </c>
      <c r="V309" t="s">
        <v>2566</v>
      </c>
      <c r="W309"/>
      <c r="X309" t="s">
        <v>2461</v>
      </c>
      <c r="Y309" t="s">
        <v>2066</v>
      </c>
      <c r="Z309" t="s">
        <v>2565</v>
      </c>
      <c r="AA309" t="s">
        <v>2561</v>
      </c>
      <c r="AB309">
        <v>9522501969</v>
      </c>
      <c r="AC309"/>
      <c r="AD309"/>
      <c r="AE309" t="s">
        <v>2566</v>
      </c>
      <c r="AF309" t="s">
        <v>2564</v>
      </c>
      <c r="AG309"/>
      <c r="AH309" t="s">
        <v>2562</v>
      </c>
      <c r="AI309"/>
      <c r="AJ309" t="s">
        <v>2222</v>
      </c>
      <c r="AK309" s="576">
        <v>33914</v>
      </c>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c r="BR309"/>
      <c r="BS309"/>
      <c r="BT309"/>
      <c r="BU309"/>
      <c r="BV309"/>
      <c r="BW309"/>
      <c r="BX309"/>
      <c r="BY309"/>
      <c r="BZ309"/>
      <c r="CA309"/>
      <c r="CB309"/>
      <c r="CC309"/>
      <c r="CD309"/>
      <c r="CE309"/>
      <c r="CF309"/>
      <c r="CG309" t="s">
        <v>733</v>
      </c>
      <c r="CH309"/>
      <c r="CI309"/>
      <c r="CJ309"/>
      <c r="CK309"/>
      <c r="CL309"/>
      <c r="CM309"/>
      <c r="CN309">
        <v>667</v>
      </c>
      <c r="CO309">
        <v>677</v>
      </c>
      <c r="CP309"/>
      <c r="CQ309"/>
      <c r="CR309"/>
      <c r="CS309" t="s">
        <v>788</v>
      </c>
      <c r="CT309">
        <v>12</v>
      </c>
      <c r="CU309"/>
      <c r="CV309"/>
      <c r="CW309"/>
      <c r="CX309"/>
      <c r="CY309"/>
      <c r="CZ309"/>
      <c r="DA309"/>
      <c r="DB309"/>
      <c r="DC309"/>
      <c r="DD309"/>
      <c r="DE309"/>
      <c r="DF309"/>
      <c r="DG309"/>
      <c r="DH309"/>
      <c r="DI309"/>
      <c r="DJ309"/>
      <c r="DK309"/>
      <c r="DL309"/>
      <c r="DM309"/>
      <c r="DN309"/>
      <c r="DO309"/>
      <c r="DP309"/>
      <c r="DQ309"/>
      <c r="DR309"/>
      <c r="DS309"/>
      <c r="DT309"/>
      <c r="DU309"/>
      <c r="DV309"/>
      <c r="DW309"/>
      <c r="DX309"/>
      <c r="DY309"/>
      <c r="DZ309"/>
      <c r="EA309"/>
      <c r="EB309"/>
      <c r="EC309"/>
      <c r="ED309"/>
      <c r="EE309"/>
      <c r="EF309"/>
      <c r="EG309"/>
      <c r="EH309"/>
      <c r="EI309"/>
      <c r="EJ309"/>
      <c r="EK309"/>
      <c r="EL309"/>
      <c r="EM309"/>
      <c r="EN309"/>
      <c r="EO309"/>
      <c r="EP309"/>
      <c r="EQ309"/>
      <c r="ER309">
        <v>0</v>
      </c>
      <c r="ES309"/>
      <c r="ET309"/>
      <c r="EU309"/>
      <c r="EV309" s="439">
        <v>901</v>
      </c>
      <c r="EW309" t="s">
        <v>1855</v>
      </c>
      <c r="EX309" t="s">
        <v>1856</v>
      </c>
      <c r="EY309" t="s">
        <v>1857</v>
      </c>
      <c r="EZ309" t="s">
        <v>54</v>
      </c>
      <c r="FA309">
        <v>56002</v>
      </c>
      <c r="FB309">
        <v>1629044029</v>
      </c>
    </row>
    <row r="310" spans="1:158" x14ac:dyDescent="0.2">
      <c r="A310" s="439">
        <v>1315</v>
      </c>
      <c r="B310" t="s">
        <v>2567</v>
      </c>
      <c r="C310" t="s">
        <v>835</v>
      </c>
      <c r="D310" t="s">
        <v>2568</v>
      </c>
      <c r="E310"/>
      <c r="F310" t="s">
        <v>838</v>
      </c>
      <c r="G310" t="s">
        <v>54</v>
      </c>
      <c r="H310" s="576">
        <v>55125</v>
      </c>
      <c r="I310"/>
      <c r="J310" t="s">
        <v>2568</v>
      </c>
      <c r="K310"/>
      <c r="L310" t="s">
        <v>835</v>
      </c>
      <c r="M310" t="s">
        <v>838</v>
      </c>
      <c r="N310" t="s">
        <v>54</v>
      </c>
      <c r="O310" s="576">
        <v>55125</v>
      </c>
      <c r="P310"/>
      <c r="Q310">
        <v>9528318742</v>
      </c>
      <c r="R310">
        <v>9528311626</v>
      </c>
      <c r="S310" t="s">
        <v>2422</v>
      </c>
      <c r="T310" t="s">
        <v>2569</v>
      </c>
      <c r="U310" t="s">
        <v>2570</v>
      </c>
      <c r="V310" t="s">
        <v>2571</v>
      </c>
      <c r="W310" t="s">
        <v>2572</v>
      </c>
      <c r="X310" t="s">
        <v>1087</v>
      </c>
      <c r="Y310" t="s">
        <v>2573</v>
      </c>
      <c r="Z310" t="s">
        <v>2574</v>
      </c>
      <c r="AA310" t="s">
        <v>2575</v>
      </c>
      <c r="AB310">
        <v>9529932059</v>
      </c>
      <c r="AC310"/>
      <c r="AD310">
        <v>8528311626</v>
      </c>
      <c r="AE310" t="s">
        <v>2576</v>
      </c>
      <c r="AF310" t="s">
        <v>2577</v>
      </c>
      <c r="AG310"/>
      <c r="AH310" t="s">
        <v>2043</v>
      </c>
      <c r="AI310" t="s">
        <v>744</v>
      </c>
      <c r="AJ310" t="s">
        <v>54</v>
      </c>
      <c r="AK310" s="576">
        <v>55431</v>
      </c>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c r="BR310"/>
      <c r="BS310"/>
      <c r="BT310"/>
      <c r="BU310"/>
      <c r="BV310"/>
      <c r="BW310"/>
      <c r="BX310"/>
      <c r="BY310"/>
      <c r="BZ310"/>
      <c r="CA310"/>
      <c r="CB310"/>
      <c r="CC310"/>
      <c r="CD310"/>
      <c r="CE310"/>
      <c r="CF310" t="s">
        <v>2578</v>
      </c>
      <c r="CG310" t="s">
        <v>2196</v>
      </c>
      <c r="CH310" t="s">
        <v>141</v>
      </c>
      <c r="CI310"/>
      <c r="CJ310"/>
      <c r="CK310"/>
      <c r="CL310"/>
      <c r="CM310">
        <v>1518273085</v>
      </c>
      <c r="CN310">
        <v>2277</v>
      </c>
      <c r="CO310">
        <v>3178</v>
      </c>
      <c r="CP310"/>
      <c r="CQ310"/>
      <c r="CR310"/>
      <c r="CS310" t="s">
        <v>788</v>
      </c>
      <c r="CT310">
        <v>12</v>
      </c>
      <c r="CU310"/>
      <c r="CV310"/>
      <c r="CW310"/>
      <c r="CX310"/>
      <c r="CY310"/>
      <c r="CZ310"/>
      <c r="DA310"/>
      <c r="DB310"/>
      <c r="DC310"/>
      <c r="DD310">
        <v>128</v>
      </c>
      <c r="DE310" t="s">
        <v>2579</v>
      </c>
      <c r="DF310"/>
      <c r="DG310"/>
      <c r="DH310"/>
      <c r="DI310"/>
      <c r="DJ310"/>
      <c r="DK310"/>
      <c r="DL310"/>
      <c r="DM310"/>
      <c r="DN310"/>
      <c r="DO310"/>
      <c r="DP310"/>
      <c r="DQ310"/>
      <c r="DR310"/>
      <c r="DS310"/>
      <c r="DT310"/>
      <c r="DU310"/>
      <c r="DV310"/>
      <c r="DW310"/>
      <c r="DX310"/>
      <c r="DY310"/>
      <c r="DZ310"/>
      <c r="EA310"/>
      <c r="EB310"/>
      <c r="EC310"/>
      <c r="ED310"/>
      <c r="EE310"/>
      <c r="EF310"/>
      <c r="EG310"/>
      <c r="EH310"/>
      <c r="EI310"/>
      <c r="EJ310"/>
      <c r="EK310"/>
      <c r="EL310"/>
      <c r="EM310"/>
      <c r="EN310"/>
      <c r="EO310"/>
      <c r="EP310"/>
      <c r="EQ310"/>
      <c r="ER310">
        <v>22</v>
      </c>
      <c r="ES310"/>
      <c r="ET310"/>
      <c r="EU310"/>
      <c r="EV310" s="439">
        <v>348</v>
      </c>
      <c r="EW310" t="s">
        <v>2995</v>
      </c>
      <c r="EX310" t="s">
        <v>1856</v>
      </c>
      <c r="EY310" t="s">
        <v>1857</v>
      </c>
      <c r="EZ310" t="s">
        <v>54</v>
      </c>
      <c r="FA310">
        <v>56002</v>
      </c>
      <c r="FB310">
        <v>1225004625</v>
      </c>
    </row>
    <row r="311" spans="1:158" x14ac:dyDescent="0.2">
      <c r="A311" s="439">
        <v>500</v>
      </c>
      <c r="B311" t="s">
        <v>2580</v>
      </c>
      <c r="C311" t="s">
        <v>2043</v>
      </c>
      <c r="D311" t="s">
        <v>2577</v>
      </c>
      <c r="E311"/>
      <c r="F311" t="s">
        <v>744</v>
      </c>
      <c r="G311" t="s">
        <v>54</v>
      </c>
      <c r="H311" s="576">
        <v>55431</v>
      </c>
      <c r="I311" s="576">
        <v>4800</v>
      </c>
      <c r="J311" t="s">
        <v>2577</v>
      </c>
      <c r="K311"/>
      <c r="L311" t="s">
        <v>2043</v>
      </c>
      <c r="M311" t="s">
        <v>744</v>
      </c>
      <c r="N311" t="s">
        <v>54</v>
      </c>
      <c r="O311" s="576">
        <v>55431</v>
      </c>
      <c r="P311"/>
      <c r="Q311">
        <v>9528318742</v>
      </c>
      <c r="R311">
        <v>9528311626</v>
      </c>
      <c r="S311" t="s">
        <v>2422</v>
      </c>
      <c r="T311" t="s">
        <v>2569</v>
      </c>
      <c r="U311" t="s">
        <v>2570</v>
      </c>
      <c r="V311" t="s">
        <v>2571</v>
      </c>
      <c r="W311" t="s">
        <v>2572</v>
      </c>
      <c r="X311" t="s">
        <v>1087</v>
      </c>
      <c r="Y311" t="s">
        <v>2573</v>
      </c>
      <c r="Z311" t="s">
        <v>2574</v>
      </c>
      <c r="AA311" t="s">
        <v>2575</v>
      </c>
      <c r="AB311">
        <v>9529932059</v>
      </c>
      <c r="AC311"/>
      <c r="AD311">
        <v>8528311626</v>
      </c>
      <c r="AE311" t="s">
        <v>2576</v>
      </c>
      <c r="AF311" t="s">
        <v>2577</v>
      </c>
      <c r="AG311"/>
      <c r="AH311" t="s">
        <v>2043</v>
      </c>
      <c r="AI311" t="s">
        <v>744</v>
      </c>
      <c r="AJ311" t="s">
        <v>54</v>
      </c>
      <c r="AK311" s="576">
        <v>55431</v>
      </c>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c r="BR311"/>
      <c r="BS311"/>
      <c r="BT311"/>
      <c r="BU311"/>
      <c r="BV311"/>
      <c r="BW311"/>
      <c r="BX311"/>
      <c r="BY311"/>
      <c r="BZ311"/>
      <c r="CA311"/>
      <c r="CB311"/>
      <c r="CC311"/>
      <c r="CD311"/>
      <c r="CE311"/>
      <c r="CF311" t="s">
        <v>2578</v>
      </c>
      <c r="CG311" t="s">
        <v>2196</v>
      </c>
      <c r="CH311" t="s">
        <v>141</v>
      </c>
      <c r="CI311"/>
      <c r="CJ311"/>
      <c r="CK311"/>
      <c r="CL311"/>
      <c r="CM311">
        <v>1518273085</v>
      </c>
      <c r="CN311">
        <v>341</v>
      </c>
      <c r="CO311">
        <v>3178</v>
      </c>
      <c r="CP311"/>
      <c r="CQ311"/>
      <c r="CR311"/>
      <c r="CS311" t="s">
        <v>788</v>
      </c>
      <c r="CT311">
        <v>12</v>
      </c>
      <c r="CU311"/>
      <c r="CV311"/>
      <c r="CW311"/>
      <c r="CX311"/>
      <c r="CY311"/>
      <c r="CZ311"/>
      <c r="DA311"/>
      <c r="DB311"/>
      <c r="DC311"/>
      <c r="DD311">
        <v>128</v>
      </c>
      <c r="DE311" t="s">
        <v>789</v>
      </c>
      <c r="DF311"/>
      <c r="DG311"/>
      <c r="DH311"/>
      <c r="DI311"/>
      <c r="DJ311"/>
      <c r="DK311"/>
      <c r="DL311"/>
      <c r="DM311"/>
      <c r="DN311"/>
      <c r="DO311"/>
      <c r="DP311"/>
      <c r="DQ311"/>
      <c r="DR311"/>
      <c r="DS311"/>
      <c r="DT311"/>
      <c r="DU311"/>
      <c r="DV311"/>
      <c r="DW311"/>
      <c r="DX311"/>
      <c r="DY311"/>
      <c r="DZ311"/>
      <c r="EA311"/>
      <c r="EB311"/>
      <c r="EC311"/>
      <c r="ED311"/>
      <c r="EE311"/>
      <c r="EF311"/>
      <c r="EG311"/>
      <c r="EH311"/>
      <c r="EI311"/>
      <c r="EJ311"/>
      <c r="EK311"/>
      <c r="EL311"/>
      <c r="EM311"/>
      <c r="EN311"/>
      <c r="EO311"/>
      <c r="EP311"/>
      <c r="EQ311"/>
      <c r="ER311">
        <v>22</v>
      </c>
      <c r="ES311"/>
      <c r="ET311"/>
      <c r="EU311"/>
      <c r="EV311" s="439">
        <v>1367</v>
      </c>
      <c r="EW311" t="s">
        <v>1875</v>
      </c>
      <c r="EX311" t="s">
        <v>1856</v>
      </c>
      <c r="EY311" t="s">
        <v>1876</v>
      </c>
      <c r="EZ311" t="s">
        <v>54</v>
      </c>
      <c r="FA311">
        <v>56001</v>
      </c>
      <c r="FB311">
        <v>1629044029</v>
      </c>
    </row>
    <row r="312" spans="1:158" x14ac:dyDescent="0.2">
      <c r="A312" s="439">
        <v>1018</v>
      </c>
      <c r="B312" t="s">
        <v>1754</v>
      </c>
      <c r="C312" t="s">
        <v>866</v>
      </c>
      <c r="D312" t="s">
        <v>1756</v>
      </c>
      <c r="E312"/>
      <c r="F312" t="s">
        <v>868</v>
      </c>
      <c r="G312" t="s">
        <v>54</v>
      </c>
      <c r="H312" s="576">
        <v>56308</v>
      </c>
      <c r="I312"/>
      <c r="J312" t="s">
        <v>1756</v>
      </c>
      <c r="K312"/>
      <c r="L312" t="s">
        <v>866</v>
      </c>
      <c r="M312" t="s">
        <v>868</v>
      </c>
      <c r="N312" t="s">
        <v>54</v>
      </c>
      <c r="O312" s="576">
        <v>56308</v>
      </c>
      <c r="P312"/>
      <c r="Q312">
        <v>3207638888</v>
      </c>
      <c r="R312">
        <v>8442517722</v>
      </c>
      <c r="S312" t="s">
        <v>846</v>
      </c>
      <c r="T312" t="s">
        <v>1748</v>
      </c>
      <c r="U312" t="s">
        <v>1749</v>
      </c>
      <c r="V312" t="s">
        <v>2581</v>
      </c>
      <c r="W312" t="s">
        <v>1751</v>
      </c>
      <c r="X312" t="s">
        <v>1752</v>
      </c>
      <c r="Y312" t="s">
        <v>1753</v>
      </c>
      <c r="Z312" t="s">
        <v>1563</v>
      </c>
      <c r="AA312" t="s">
        <v>1754</v>
      </c>
      <c r="AB312">
        <v>9524059760</v>
      </c>
      <c r="AC312">
        <v>123</v>
      </c>
      <c r="AD312">
        <v>8554306952</v>
      </c>
      <c r="AE312" t="s">
        <v>1755</v>
      </c>
      <c r="AF312" t="s">
        <v>1756</v>
      </c>
      <c r="AG312"/>
      <c r="AH312" t="s">
        <v>866</v>
      </c>
      <c r="AI312" t="s">
        <v>868</v>
      </c>
      <c r="AJ312" t="s">
        <v>54</v>
      </c>
      <c r="AK312" s="576">
        <v>56308</v>
      </c>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t="s">
        <v>1752</v>
      </c>
      <c r="BR312" t="s">
        <v>1753</v>
      </c>
      <c r="BS312" t="s">
        <v>1563</v>
      </c>
      <c r="BT312" t="s">
        <v>1754</v>
      </c>
      <c r="BU312">
        <v>9524059760</v>
      </c>
      <c r="BV312">
        <v>123</v>
      </c>
      <c r="BW312">
        <v>8554306952</v>
      </c>
      <c r="BX312" t="s">
        <v>1755</v>
      </c>
      <c r="BY312" t="s">
        <v>1756</v>
      </c>
      <c r="BZ312"/>
      <c r="CA312" t="s">
        <v>866</v>
      </c>
      <c r="CB312" t="s">
        <v>868</v>
      </c>
      <c r="CC312" t="s">
        <v>54</v>
      </c>
      <c r="CD312" s="576">
        <v>56308</v>
      </c>
      <c r="CE312"/>
      <c r="CF312" t="s">
        <v>1757</v>
      </c>
      <c r="CG312" t="s">
        <v>1758</v>
      </c>
      <c r="CH312" t="s">
        <v>141</v>
      </c>
      <c r="CI312"/>
      <c r="CJ312"/>
      <c r="CK312"/>
      <c r="CL312"/>
      <c r="CM312">
        <v>1659301992</v>
      </c>
      <c r="CN312">
        <v>500</v>
      </c>
      <c r="CO312">
        <v>501</v>
      </c>
      <c r="CP312"/>
      <c r="CQ312"/>
      <c r="CR312">
        <v>501</v>
      </c>
      <c r="CS312" t="s">
        <v>788</v>
      </c>
      <c r="CT312">
        <v>12</v>
      </c>
      <c r="CU312"/>
      <c r="CV312"/>
      <c r="CW312"/>
      <c r="CX312"/>
      <c r="CY312"/>
      <c r="CZ312"/>
      <c r="DA312"/>
      <c r="DB312"/>
      <c r="DC312"/>
      <c r="DD312"/>
      <c r="DE312"/>
      <c r="DF312"/>
      <c r="DG312"/>
      <c r="DH312">
        <v>129</v>
      </c>
      <c r="DI312" t="s">
        <v>2582</v>
      </c>
      <c r="DJ312"/>
      <c r="DK312"/>
      <c r="DL312"/>
      <c r="DM312"/>
      <c r="DN312"/>
      <c r="DO312"/>
      <c r="DP312"/>
      <c r="DQ312"/>
      <c r="DR312"/>
      <c r="DS312"/>
      <c r="DT312"/>
      <c r="DU312"/>
      <c r="DV312"/>
      <c r="DW312"/>
      <c r="DX312"/>
      <c r="DY312"/>
      <c r="DZ312"/>
      <c r="EA312"/>
      <c r="EB312"/>
      <c r="EC312"/>
      <c r="ED312"/>
      <c r="EE312"/>
      <c r="EF312"/>
      <c r="EG312"/>
      <c r="EH312"/>
      <c r="EI312"/>
      <c r="EJ312"/>
      <c r="EK312"/>
      <c r="EL312"/>
      <c r="EM312"/>
      <c r="EN312"/>
      <c r="EO312"/>
      <c r="EP312"/>
      <c r="EQ312"/>
      <c r="ER312">
        <v>202</v>
      </c>
      <c r="ES312"/>
      <c r="ET312"/>
      <c r="EU312"/>
      <c r="EV312" s="439">
        <v>327</v>
      </c>
      <c r="EW312" t="s">
        <v>2996</v>
      </c>
      <c r="EX312" t="s">
        <v>1856</v>
      </c>
      <c r="EY312" t="s">
        <v>2997</v>
      </c>
      <c r="EZ312" t="s">
        <v>54</v>
      </c>
      <c r="FA312">
        <v>56001</v>
      </c>
      <c r="FB312">
        <v>1720161615</v>
      </c>
    </row>
    <row r="313" spans="1:158" x14ac:dyDescent="0.2">
      <c r="A313" s="439">
        <v>1231</v>
      </c>
      <c r="B313" t="s">
        <v>2583</v>
      </c>
      <c r="C313" t="s">
        <v>943</v>
      </c>
      <c r="D313" t="s">
        <v>2584</v>
      </c>
      <c r="E313" t="s">
        <v>831</v>
      </c>
      <c r="F313" t="s">
        <v>838</v>
      </c>
      <c r="G313" t="s">
        <v>54</v>
      </c>
      <c r="H313" s="576">
        <v>55025</v>
      </c>
      <c r="I313"/>
      <c r="J313" t="s">
        <v>2584</v>
      </c>
      <c r="K313" t="s">
        <v>831</v>
      </c>
      <c r="L313" t="s">
        <v>943</v>
      </c>
      <c r="M313" t="s">
        <v>838</v>
      </c>
      <c r="N313" t="s">
        <v>54</v>
      </c>
      <c r="O313" s="576">
        <v>55025</v>
      </c>
      <c r="P313"/>
      <c r="Q313">
        <v>6515787000</v>
      </c>
      <c r="R313">
        <v>6515780157</v>
      </c>
      <c r="S313" t="s">
        <v>1609</v>
      </c>
      <c r="T313" t="s">
        <v>2585</v>
      </c>
      <c r="U313" t="s">
        <v>2586</v>
      </c>
      <c r="V313" t="s">
        <v>2587</v>
      </c>
      <c r="W313"/>
      <c r="X313" t="s">
        <v>2154</v>
      </c>
      <c r="Y313" t="s">
        <v>2588</v>
      </c>
      <c r="Z313" t="s">
        <v>2589</v>
      </c>
      <c r="AA313" t="s">
        <v>2583</v>
      </c>
      <c r="AB313">
        <v>6515787000</v>
      </c>
      <c r="AC313"/>
      <c r="AD313">
        <v>6517739646</v>
      </c>
      <c r="AE313" t="s">
        <v>2590</v>
      </c>
      <c r="AF313" t="s">
        <v>2591</v>
      </c>
      <c r="AG313" t="s">
        <v>911</v>
      </c>
      <c r="AH313" t="s">
        <v>835</v>
      </c>
      <c r="AI313" t="s">
        <v>838</v>
      </c>
      <c r="AJ313" t="s">
        <v>54</v>
      </c>
      <c r="AK313" s="576">
        <v>55125</v>
      </c>
      <c r="AL313"/>
      <c r="AM313"/>
      <c r="AN313"/>
      <c r="AO313"/>
      <c r="AP313"/>
      <c r="AQ313"/>
      <c r="AR313"/>
      <c r="AS313"/>
      <c r="AT313"/>
      <c r="AU313"/>
      <c r="AV313"/>
      <c r="AW313"/>
      <c r="AX313"/>
      <c r="AY313"/>
      <c r="AZ313"/>
      <c r="BA313"/>
      <c r="BB313"/>
      <c r="BC313"/>
      <c r="BD313"/>
      <c r="BE313"/>
      <c r="BF313"/>
      <c r="BG313"/>
      <c r="BH313"/>
      <c r="BI313"/>
      <c r="BJ313"/>
      <c r="BK313"/>
      <c r="BL313"/>
      <c r="BM313"/>
      <c r="BN313"/>
      <c r="BO313"/>
      <c r="BP313"/>
      <c r="BQ313"/>
      <c r="BR313"/>
      <c r="BS313"/>
      <c r="BT313"/>
      <c r="BU313"/>
      <c r="BV313"/>
      <c r="BW313"/>
      <c r="BX313"/>
      <c r="BY313"/>
      <c r="BZ313"/>
      <c r="CA313"/>
      <c r="CB313"/>
      <c r="CC313"/>
      <c r="CD313"/>
      <c r="CE313"/>
      <c r="CF313" t="s">
        <v>2592</v>
      </c>
      <c r="CG313" t="s">
        <v>2583</v>
      </c>
      <c r="CH313" t="s">
        <v>141</v>
      </c>
      <c r="CI313"/>
      <c r="CJ313"/>
      <c r="CK313"/>
      <c r="CL313"/>
      <c r="CM313">
        <v>1285179945</v>
      </c>
      <c r="CN313">
        <v>2174</v>
      </c>
      <c r="CO313">
        <v>2130</v>
      </c>
      <c r="CP313"/>
      <c r="CQ313"/>
      <c r="CR313"/>
      <c r="CS313" t="s">
        <v>788</v>
      </c>
      <c r="CT313">
        <v>12</v>
      </c>
      <c r="CU313"/>
      <c r="CV313"/>
      <c r="CW313"/>
      <c r="CX313"/>
      <c r="CY313"/>
      <c r="CZ313"/>
      <c r="DA313"/>
      <c r="DB313"/>
      <c r="DC313"/>
      <c r="DD313"/>
      <c r="DE313"/>
      <c r="DF313"/>
      <c r="DG313"/>
      <c r="DH313"/>
      <c r="DI313"/>
      <c r="DJ313"/>
      <c r="DK313"/>
      <c r="DL313"/>
      <c r="DM313"/>
      <c r="DN313"/>
      <c r="DO313"/>
      <c r="DP313"/>
      <c r="DQ313"/>
      <c r="DR313"/>
      <c r="DS313"/>
      <c r="DT313"/>
      <c r="DU313"/>
      <c r="DV313"/>
      <c r="DW313"/>
      <c r="DX313"/>
      <c r="DY313"/>
      <c r="DZ313"/>
      <c r="EA313"/>
      <c r="EB313"/>
      <c r="EC313"/>
      <c r="ED313"/>
      <c r="EE313"/>
      <c r="EF313"/>
      <c r="EG313"/>
      <c r="EH313"/>
      <c r="EI313"/>
      <c r="EJ313"/>
      <c r="EK313"/>
      <c r="EL313"/>
      <c r="EM313"/>
      <c r="EN313"/>
      <c r="EO313"/>
      <c r="EP313"/>
      <c r="EQ313"/>
      <c r="ER313">
        <v>151</v>
      </c>
      <c r="ES313"/>
      <c r="ET313"/>
      <c r="EU313"/>
      <c r="EV313" s="439">
        <v>714</v>
      </c>
      <c r="EW313" t="s">
        <v>2998</v>
      </c>
      <c r="EX313" t="s">
        <v>1856</v>
      </c>
      <c r="EY313" t="s">
        <v>1937</v>
      </c>
      <c r="EZ313" t="s">
        <v>54</v>
      </c>
      <c r="FA313"/>
      <c r="FB313"/>
    </row>
    <row r="314" spans="1:158" x14ac:dyDescent="0.2">
      <c r="A314" s="439">
        <v>1152</v>
      </c>
      <c r="B314" t="s">
        <v>2583</v>
      </c>
      <c r="C314" t="s">
        <v>1036</v>
      </c>
      <c r="D314" t="s">
        <v>2593</v>
      </c>
      <c r="E314" t="s">
        <v>2594</v>
      </c>
      <c r="F314" t="s">
        <v>912</v>
      </c>
      <c r="G314" t="s">
        <v>54</v>
      </c>
      <c r="H314" s="576">
        <v>55109</v>
      </c>
      <c r="I314"/>
      <c r="J314" t="s">
        <v>2593</v>
      </c>
      <c r="K314" t="s">
        <v>2594</v>
      </c>
      <c r="L314" t="s">
        <v>1036</v>
      </c>
      <c r="M314" t="s">
        <v>912</v>
      </c>
      <c r="N314" t="s">
        <v>54</v>
      </c>
      <c r="O314" s="576">
        <v>55109</v>
      </c>
      <c r="P314"/>
      <c r="Q314">
        <v>6515787000</v>
      </c>
      <c r="R314">
        <v>6515780157</v>
      </c>
      <c r="S314" t="s">
        <v>1609</v>
      </c>
      <c r="T314" t="s">
        <v>2585</v>
      </c>
      <c r="U314" t="s">
        <v>2586</v>
      </c>
      <c r="V314" t="s">
        <v>2587</v>
      </c>
      <c r="W314"/>
      <c r="X314" t="s">
        <v>2154</v>
      </c>
      <c r="Y314" t="s">
        <v>2588</v>
      </c>
      <c r="Z314" t="s">
        <v>2589</v>
      </c>
      <c r="AA314" t="s">
        <v>2583</v>
      </c>
      <c r="AB314">
        <v>6515787000</v>
      </c>
      <c r="AC314"/>
      <c r="AD314">
        <v>6517739646</v>
      </c>
      <c r="AE314" t="s">
        <v>2590</v>
      </c>
      <c r="AF314" t="s">
        <v>2591</v>
      </c>
      <c r="AG314" t="s">
        <v>911</v>
      </c>
      <c r="AH314" t="s">
        <v>835</v>
      </c>
      <c r="AI314" t="s">
        <v>838</v>
      </c>
      <c r="AJ314" t="s">
        <v>54</v>
      </c>
      <c r="AK314" s="576">
        <v>55125</v>
      </c>
      <c r="AL314"/>
      <c r="AM314"/>
      <c r="AN314"/>
      <c r="AO314"/>
      <c r="AP314"/>
      <c r="AQ314"/>
      <c r="AR314"/>
      <c r="AS314"/>
      <c r="AT314"/>
      <c r="AU314"/>
      <c r="AV314"/>
      <c r="AW314"/>
      <c r="AX314"/>
      <c r="AY314"/>
      <c r="AZ314"/>
      <c r="BA314"/>
      <c r="BB314"/>
      <c r="BC314"/>
      <c r="BD314"/>
      <c r="BE314"/>
      <c r="BF314"/>
      <c r="BG314"/>
      <c r="BH314"/>
      <c r="BI314"/>
      <c r="BJ314"/>
      <c r="BK314"/>
      <c r="BL314"/>
      <c r="BM314"/>
      <c r="BN314"/>
      <c r="BO314"/>
      <c r="BP314"/>
      <c r="BQ314"/>
      <c r="BR314"/>
      <c r="BS314"/>
      <c r="BT314"/>
      <c r="BU314"/>
      <c r="BV314"/>
      <c r="BW314"/>
      <c r="BX314"/>
      <c r="BY314"/>
      <c r="BZ314"/>
      <c r="CA314"/>
      <c r="CB314"/>
      <c r="CC314"/>
      <c r="CD314"/>
      <c r="CE314"/>
      <c r="CF314" t="s">
        <v>2592</v>
      </c>
      <c r="CG314" t="s">
        <v>2583</v>
      </c>
      <c r="CH314" t="s">
        <v>141</v>
      </c>
      <c r="CI314"/>
      <c r="CJ314"/>
      <c r="CK314"/>
      <c r="CL314"/>
      <c r="CM314">
        <v>1285179945</v>
      </c>
      <c r="CN314">
        <v>2129</v>
      </c>
      <c r="CO314">
        <v>2130</v>
      </c>
      <c r="CP314"/>
      <c r="CQ314"/>
      <c r="CR314"/>
      <c r="CS314" t="s">
        <v>788</v>
      </c>
      <c r="CT314">
        <v>12</v>
      </c>
      <c r="CU314"/>
      <c r="CV314"/>
      <c r="CW314"/>
      <c r="CX314"/>
      <c r="CY314"/>
      <c r="CZ314"/>
      <c r="DA314"/>
      <c r="DB314"/>
      <c r="DC314"/>
      <c r="DD314"/>
      <c r="DE314"/>
      <c r="DF314"/>
      <c r="DG314"/>
      <c r="DH314"/>
      <c r="DI314"/>
      <c r="DJ314"/>
      <c r="DK314"/>
      <c r="DL314"/>
      <c r="DM314"/>
      <c r="DN314"/>
      <c r="DO314"/>
      <c r="DP314"/>
      <c r="DQ314"/>
      <c r="DR314"/>
      <c r="DS314"/>
      <c r="DT314"/>
      <c r="DU314"/>
      <c r="DV314"/>
      <c r="DW314"/>
      <c r="DX314"/>
      <c r="DY314"/>
      <c r="DZ314"/>
      <c r="EA314"/>
      <c r="EB314"/>
      <c r="EC314"/>
      <c r="ED314"/>
      <c r="EE314"/>
      <c r="EF314"/>
      <c r="EG314"/>
      <c r="EH314"/>
      <c r="EI314"/>
      <c r="EJ314"/>
      <c r="EK314"/>
      <c r="EL314"/>
      <c r="EM314"/>
      <c r="EN314"/>
      <c r="EO314"/>
      <c r="EP314"/>
      <c r="EQ314"/>
      <c r="ER314">
        <v>151</v>
      </c>
      <c r="ES314"/>
      <c r="ET314"/>
      <c r="EU314"/>
      <c r="EV314" s="439">
        <v>63</v>
      </c>
      <c r="EW314" t="s">
        <v>2999</v>
      </c>
      <c r="EX314" t="s">
        <v>1856</v>
      </c>
      <c r="EY314" t="s">
        <v>1937</v>
      </c>
      <c r="EZ314" t="s">
        <v>54</v>
      </c>
      <c r="FA314">
        <v>56001</v>
      </c>
      <c r="FB314">
        <v>1154302487</v>
      </c>
    </row>
    <row r="315" spans="1:158" x14ac:dyDescent="0.2">
      <c r="A315" s="439">
        <v>1479</v>
      </c>
      <c r="B315" t="s">
        <v>2583</v>
      </c>
      <c r="C315" t="s">
        <v>835</v>
      </c>
      <c r="D315" t="s">
        <v>2591</v>
      </c>
      <c r="E315" t="s">
        <v>911</v>
      </c>
      <c r="F315" t="s">
        <v>838</v>
      </c>
      <c r="G315" t="s">
        <v>54</v>
      </c>
      <c r="H315" s="576">
        <v>55125</v>
      </c>
      <c r="I315"/>
      <c r="J315" t="s">
        <v>2591</v>
      </c>
      <c r="K315" t="s">
        <v>911</v>
      </c>
      <c r="L315" t="s">
        <v>835</v>
      </c>
      <c r="M315" t="s">
        <v>838</v>
      </c>
      <c r="N315" t="s">
        <v>54</v>
      </c>
      <c r="O315" s="576">
        <v>55125</v>
      </c>
      <c r="P315"/>
      <c r="Q315">
        <v>6515787000</v>
      </c>
      <c r="R315">
        <v>6515780157</v>
      </c>
      <c r="S315" t="s">
        <v>1609</v>
      </c>
      <c r="T315" t="s">
        <v>2585</v>
      </c>
      <c r="U315" t="s">
        <v>2586</v>
      </c>
      <c r="V315" t="s">
        <v>2587</v>
      </c>
      <c r="W315"/>
      <c r="X315" t="s">
        <v>2154</v>
      </c>
      <c r="Y315" t="s">
        <v>2588</v>
      </c>
      <c r="Z315" t="s">
        <v>2589</v>
      </c>
      <c r="AA315" t="s">
        <v>2583</v>
      </c>
      <c r="AB315">
        <v>6515787000</v>
      </c>
      <c r="AC315"/>
      <c r="AD315">
        <v>6517739646</v>
      </c>
      <c r="AE315" t="s">
        <v>2590</v>
      </c>
      <c r="AF315" t="s">
        <v>2591</v>
      </c>
      <c r="AG315" t="s">
        <v>911</v>
      </c>
      <c r="AH315" t="s">
        <v>835</v>
      </c>
      <c r="AI315" t="s">
        <v>838</v>
      </c>
      <c r="AJ315" t="s">
        <v>54</v>
      </c>
      <c r="AK315" s="576">
        <v>55125</v>
      </c>
      <c r="AL315"/>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c r="BR315"/>
      <c r="BS315"/>
      <c r="BT315"/>
      <c r="BU315"/>
      <c r="BV315"/>
      <c r="BW315"/>
      <c r="BX315"/>
      <c r="BY315"/>
      <c r="BZ315"/>
      <c r="CA315"/>
      <c r="CB315"/>
      <c r="CC315"/>
      <c r="CD315"/>
      <c r="CE315"/>
      <c r="CF315" t="s">
        <v>2592</v>
      </c>
      <c r="CG315" t="s">
        <v>2583</v>
      </c>
      <c r="CH315" t="s">
        <v>141</v>
      </c>
      <c r="CI315"/>
      <c r="CJ315"/>
      <c r="CK315"/>
      <c r="CL315"/>
      <c r="CM315">
        <v>1285179945</v>
      </c>
      <c r="CN315">
        <v>2181</v>
      </c>
      <c r="CO315">
        <v>2130</v>
      </c>
      <c r="CP315"/>
      <c r="CQ315"/>
      <c r="CR315"/>
      <c r="CS315" t="s">
        <v>788</v>
      </c>
      <c r="CT315">
        <v>12</v>
      </c>
      <c r="CU315"/>
      <c r="CV315"/>
      <c r="CW315"/>
      <c r="CX315"/>
      <c r="CY315"/>
      <c r="CZ315"/>
      <c r="DA315"/>
      <c r="DB315"/>
      <c r="DC315"/>
      <c r="DD315"/>
      <c r="DE315"/>
      <c r="DF315"/>
      <c r="DG315"/>
      <c r="DH315"/>
      <c r="DI315"/>
      <c r="DJ315"/>
      <c r="DK315"/>
      <c r="DL315"/>
      <c r="DM315"/>
      <c r="DN315"/>
      <c r="DO315"/>
      <c r="DP315"/>
      <c r="DQ315"/>
      <c r="DR315"/>
      <c r="DS315"/>
      <c r="DT315"/>
      <c r="DU315"/>
      <c r="DV315"/>
      <c r="DW315"/>
      <c r="DX315"/>
      <c r="DY315"/>
      <c r="DZ315"/>
      <c r="EA315"/>
      <c r="EB315"/>
      <c r="EC315"/>
      <c r="ED315"/>
      <c r="EE315"/>
      <c r="EF315"/>
      <c r="EG315"/>
      <c r="EH315"/>
      <c r="EI315"/>
      <c r="EJ315"/>
      <c r="EK315"/>
      <c r="EL315"/>
      <c r="EM315"/>
      <c r="EN315"/>
      <c r="EO315"/>
      <c r="EP315"/>
      <c r="EQ315"/>
      <c r="ER315">
        <v>151</v>
      </c>
      <c r="ES315"/>
      <c r="ET315"/>
      <c r="EU315"/>
      <c r="EV315" s="439">
        <v>1453</v>
      </c>
      <c r="EW315" t="s">
        <v>1926</v>
      </c>
      <c r="EX315" t="s">
        <v>1856</v>
      </c>
      <c r="EY315" t="s">
        <v>1927</v>
      </c>
      <c r="EZ315" t="s">
        <v>54</v>
      </c>
      <c r="FA315">
        <v>56001</v>
      </c>
      <c r="FB315"/>
    </row>
    <row r="316" spans="1:158" x14ac:dyDescent="0.2">
      <c r="A316" s="439">
        <v>1777</v>
      </c>
      <c r="B316" t="s">
        <v>2595</v>
      </c>
      <c r="C316" t="s">
        <v>798</v>
      </c>
      <c r="D316" t="s">
        <v>2596</v>
      </c>
      <c r="E316"/>
      <c r="F316" t="s">
        <v>801</v>
      </c>
      <c r="G316" t="s">
        <v>54</v>
      </c>
      <c r="H316" s="576">
        <v>55434</v>
      </c>
      <c r="I316"/>
      <c r="J316" t="s">
        <v>2596</v>
      </c>
      <c r="K316"/>
      <c r="L316" t="s">
        <v>798</v>
      </c>
      <c r="M316" t="s">
        <v>801</v>
      </c>
      <c r="N316" t="s">
        <v>54</v>
      </c>
      <c r="O316" s="576">
        <v>55434</v>
      </c>
      <c r="P316"/>
      <c r="Q316">
        <v>7632022600</v>
      </c>
      <c r="R316">
        <v>7633022601</v>
      </c>
      <c r="S316" t="s">
        <v>2597</v>
      </c>
      <c r="T316" t="s">
        <v>1087</v>
      </c>
      <c r="U316" t="s">
        <v>742</v>
      </c>
      <c r="V316" t="s">
        <v>2598</v>
      </c>
      <c r="W316" t="s">
        <v>1697</v>
      </c>
      <c r="X316" t="s">
        <v>1881</v>
      </c>
      <c r="Y316" t="s">
        <v>2599</v>
      </c>
      <c r="Z316" t="s">
        <v>2600</v>
      </c>
      <c r="AA316" t="s">
        <v>2601</v>
      </c>
      <c r="AB316">
        <v>9524567059</v>
      </c>
      <c r="AC316"/>
      <c r="AD316">
        <v>9528474039</v>
      </c>
      <c r="AE316" t="s">
        <v>2602</v>
      </c>
      <c r="AF316" t="s">
        <v>2603</v>
      </c>
      <c r="AG316"/>
      <c r="AH316" t="s">
        <v>967</v>
      </c>
      <c r="AI316" t="s">
        <v>744</v>
      </c>
      <c r="AJ316" t="s">
        <v>54</v>
      </c>
      <c r="AK316" s="576">
        <v>55435</v>
      </c>
      <c r="AL316"/>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t="s">
        <v>1700</v>
      </c>
      <c r="BR316" t="s">
        <v>1701</v>
      </c>
      <c r="BS316" t="s">
        <v>1702</v>
      </c>
      <c r="BT316" t="s">
        <v>1703</v>
      </c>
      <c r="BU316">
        <v>9523457704</v>
      </c>
      <c r="BV316"/>
      <c r="BW316">
        <v>9525125650</v>
      </c>
      <c r="BX316" t="s">
        <v>2604</v>
      </c>
      <c r="BY316" t="s">
        <v>1704</v>
      </c>
      <c r="BZ316"/>
      <c r="CA316" t="s">
        <v>1705</v>
      </c>
      <c r="CB316" t="s">
        <v>744</v>
      </c>
      <c r="CC316" t="s">
        <v>54</v>
      </c>
      <c r="CD316" s="576">
        <v>55422</v>
      </c>
      <c r="CE316"/>
      <c r="CF316" t="s">
        <v>2605</v>
      </c>
      <c r="CG316" t="s">
        <v>2601</v>
      </c>
      <c r="CH316" t="s">
        <v>141</v>
      </c>
      <c r="CI316"/>
      <c r="CJ316"/>
      <c r="CK316"/>
      <c r="CL316"/>
      <c r="CM316">
        <v>1164474250</v>
      </c>
      <c r="CN316">
        <v>435</v>
      </c>
      <c r="CO316">
        <v>200</v>
      </c>
      <c r="CP316"/>
      <c r="CQ316"/>
      <c r="CR316">
        <v>218</v>
      </c>
      <c r="CS316" t="s">
        <v>788</v>
      </c>
      <c r="CT316">
        <v>12</v>
      </c>
      <c r="CU316"/>
      <c r="CV316"/>
      <c r="CW316"/>
      <c r="CX316"/>
      <c r="CY316"/>
      <c r="CZ316"/>
      <c r="DA316"/>
      <c r="DB316"/>
      <c r="DC316"/>
      <c r="DD316"/>
      <c r="DE316"/>
      <c r="DF316"/>
      <c r="DG316"/>
      <c r="DH316"/>
      <c r="DI316"/>
      <c r="DJ316"/>
      <c r="DK316"/>
      <c r="DL316">
        <v>132</v>
      </c>
      <c r="DM316" t="s">
        <v>2553</v>
      </c>
      <c r="DN316"/>
      <c r="DO316"/>
      <c r="DP316"/>
      <c r="DQ316"/>
      <c r="DR316"/>
      <c r="DS316"/>
      <c r="DT316"/>
      <c r="DU316"/>
      <c r="DV316"/>
      <c r="DW316"/>
      <c r="DX316"/>
      <c r="DY316"/>
      <c r="DZ316"/>
      <c r="EA316"/>
      <c r="EB316"/>
      <c r="EC316"/>
      <c r="ED316"/>
      <c r="EE316"/>
      <c r="EF316"/>
      <c r="EG316"/>
      <c r="EH316"/>
      <c r="EI316"/>
      <c r="EJ316"/>
      <c r="EK316"/>
      <c r="EL316"/>
      <c r="EM316"/>
      <c r="EN316"/>
      <c r="EO316"/>
      <c r="EP316"/>
      <c r="EQ316"/>
      <c r="ER316">
        <v>89</v>
      </c>
      <c r="ES316"/>
      <c r="ET316"/>
      <c r="EU316"/>
      <c r="EV316" s="439">
        <v>373</v>
      </c>
      <c r="EW316" t="s">
        <v>3000</v>
      </c>
      <c r="EX316" t="s">
        <v>1856</v>
      </c>
      <c r="EY316" t="s">
        <v>3001</v>
      </c>
      <c r="EZ316" t="s">
        <v>54</v>
      </c>
      <c r="FA316">
        <v>56001</v>
      </c>
      <c r="FB316">
        <v>1396065082</v>
      </c>
    </row>
    <row r="317" spans="1:158" x14ac:dyDescent="0.2">
      <c r="A317" s="439">
        <v>1464</v>
      </c>
      <c r="B317" t="s">
        <v>2606</v>
      </c>
      <c r="C317" t="s">
        <v>1996</v>
      </c>
      <c r="D317" t="s">
        <v>2607</v>
      </c>
      <c r="E317"/>
      <c r="F317" t="s">
        <v>744</v>
      </c>
      <c r="G317" t="s">
        <v>54</v>
      </c>
      <c r="H317" s="576">
        <v>55443</v>
      </c>
      <c r="I317"/>
      <c r="J317" t="s">
        <v>2607</v>
      </c>
      <c r="K317"/>
      <c r="L317" t="s">
        <v>1996</v>
      </c>
      <c r="M317" t="s">
        <v>744</v>
      </c>
      <c r="N317" t="s">
        <v>54</v>
      </c>
      <c r="O317" s="576">
        <v>55443</v>
      </c>
      <c r="P317"/>
      <c r="Q317">
        <v>7637869543</v>
      </c>
      <c r="R317">
        <v>7637863320</v>
      </c>
      <c r="S317" t="s">
        <v>2597</v>
      </c>
      <c r="T317" t="s">
        <v>1087</v>
      </c>
      <c r="U317" t="s">
        <v>742</v>
      </c>
      <c r="V317" t="s">
        <v>2598</v>
      </c>
      <c r="W317" t="s">
        <v>1697</v>
      </c>
      <c r="X317" t="s">
        <v>1881</v>
      </c>
      <c r="Y317" t="s">
        <v>2599</v>
      </c>
      <c r="Z317" t="s">
        <v>2600</v>
      </c>
      <c r="AA317" t="s">
        <v>2601</v>
      </c>
      <c r="AB317">
        <v>9524567059</v>
      </c>
      <c r="AC317"/>
      <c r="AD317">
        <v>9528474039</v>
      </c>
      <c r="AE317" t="s">
        <v>2602</v>
      </c>
      <c r="AF317" t="s">
        <v>2603</v>
      </c>
      <c r="AG317"/>
      <c r="AH317" t="s">
        <v>967</v>
      </c>
      <c r="AI317" t="s">
        <v>744</v>
      </c>
      <c r="AJ317" t="s">
        <v>54</v>
      </c>
      <c r="AK317" s="576">
        <v>55435</v>
      </c>
      <c r="AL317"/>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t="s">
        <v>1700</v>
      </c>
      <c r="BR317" t="s">
        <v>1701</v>
      </c>
      <c r="BS317" t="s">
        <v>1702</v>
      </c>
      <c r="BT317" t="s">
        <v>1703</v>
      </c>
      <c r="BU317">
        <v>9523457704</v>
      </c>
      <c r="BV317"/>
      <c r="BW317">
        <v>9525125650</v>
      </c>
      <c r="BX317" t="s">
        <v>2604</v>
      </c>
      <c r="BY317" t="s">
        <v>1704</v>
      </c>
      <c r="BZ317"/>
      <c r="CA317" t="s">
        <v>1705</v>
      </c>
      <c r="CB317" t="s">
        <v>744</v>
      </c>
      <c r="CC317" t="s">
        <v>54</v>
      </c>
      <c r="CD317" s="576">
        <v>55422</v>
      </c>
      <c r="CE317"/>
      <c r="CF317" t="s">
        <v>2608</v>
      </c>
      <c r="CG317" t="s">
        <v>2601</v>
      </c>
      <c r="CH317" t="s">
        <v>141</v>
      </c>
      <c r="CI317"/>
      <c r="CJ317"/>
      <c r="CK317"/>
      <c r="CL317"/>
      <c r="CM317">
        <v>1164474250</v>
      </c>
      <c r="CN317">
        <v>206</v>
      </c>
      <c r="CO317">
        <v>200</v>
      </c>
      <c r="CP317"/>
      <c r="CQ317"/>
      <c r="CR317">
        <v>218</v>
      </c>
      <c r="CS317" t="s">
        <v>788</v>
      </c>
      <c r="CT317">
        <v>12</v>
      </c>
      <c r="CU317"/>
      <c r="CV317"/>
      <c r="CW317"/>
      <c r="CX317"/>
      <c r="CY317"/>
      <c r="CZ317"/>
      <c r="DA317"/>
      <c r="DB317"/>
      <c r="DC317"/>
      <c r="DD317"/>
      <c r="DE317"/>
      <c r="DF317"/>
      <c r="DG317"/>
      <c r="DH317"/>
      <c r="DI317"/>
      <c r="DJ317"/>
      <c r="DK317"/>
      <c r="DL317">
        <v>132</v>
      </c>
      <c r="DM317" t="s">
        <v>2553</v>
      </c>
      <c r="DN317"/>
      <c r="DO317"/>
      <c r="DP317"/>
      <c r="DQ317"/>
      <c r="DR317"/>
      <c r="DS317"/>
      <c r="DT317"/>
      <c r="DU317"/>
      <c r="DV317"/>
      <c r="DW317"/>
      <c r="DX317"/>
      <c r="DY317"/>
      <c r="DZ317"/>
      <c r="EA317"/>
      <c r="EB317"/>
      <c r="EC317"/>
      <c r="ED317"/>
      <c r="EE317"/>
      <c r="EF317"/>
      <c r="EG317"/>
      <c r="EH317"/>
      <c r="EI317"/>
      <c r="EJ317"/>
      <c r="EK317"/>
      <c r="EL317"/>
      <c r="EM317"/>
      <c r="EN317"/>
      <c r="EO317"/>
      <c r="EP317"/>
      <c r="EQ317"/>
      <c r="ER317">
        <v>89</v>
      </c>
      <c r="ES317"/>
      <c r="ET317"/>
      <c r="EU317"/>
      <c r="EV317" s="439">
        <v>732</v>
      </c>
      <c r="EW317" t="s">
        <v>2554</v>
      </c>
      <c r="EX317" t="s">
        <v>1856</v>
      </c>
      <c r="EY317" t="s">
        <v>2555</v>
      </c>
      <c r="EZ317" t="s">
        <v>54</v>
      </c>
      <c r="FA317">
        <v>56001</v>
      </c>
      <c r="FB317">
        <v>1659346609</v>
      </c>
    </row>
    <row r="318" spans="1:158" x14ac:dyDescent="0.2">
      <c r="A318" s="439">
        <v>709</v>
      </c>
      <c r="B318" t="s">
        <v>2609</v>
      </c>
      <c r="C318" t="s">
        <v>1105</v>
      </c>
      <c r="D318" t="s">
        <v>2610</v>
      </c>
      <c r="E318"/>
      <c r="F318" t="s">
        <v>746</v>
      </c>
      <c r="G318" t="s">
        <v>54</v>
      </c>
      <c r="H318" s="576">
        <v>55337</v>
      </c>
      <c r="I318"/>
      <c r="J318" t="s">
        <v>2610</v>
      </c>
      <c r="K318"/>
      <c r="L318" t="s">
        <v>1105</v>
      </c>
      <c r="M318" t="s">
        <v>746</v>
      </c>
      <c r="N318" t="s">
        <v>54</v>
      </c>
      <c r="O318" s="576">
        <v>55337</v>
      </c>
      <c r="P318"/>
      <c r="Q318">
        <v>9528083000</v>
      </c>
      <c r="R318">
        <v>9528083001</v>
      </c>
      <c r="S318" t="s">
        <v>2597</v>
      </c>
      <c r="T318" t="s">
        <v>1087</v>
      </c>
      <c r="U318" t="s">
        <v>742</v>
      </c>
      <c r="V318" t="s">
        <v>2598</v>
      </c>
      <c r="W318" t="s">
        <v>1697</v>
      </c>
      <c r="X318" t="s">
        <v>1881</v>
      </c>
      <c r="Y318" t="s">
        <v>2599</v>
      </c>
      <c r="Z318" t="s">
        <v>2600</v>
      </c>
      <c r="AA318" t="s">
        <v>2601</v>
      </c>
      <c r="AB318">
        <v>9524567059</v>
      </c>
      <c r="AC318"/>
      <c r="AD318">
        <v>9528474039</v>
      </c>
      <c r="AE318" t="s">
        <v>2602</v>
      </c>
      <c r="AF318" t="s">
        <v>2603</v>
      </c>
      <c r="AG318"/>
      <c r="AH318" t="s">
        <v>967</v>
      </c>
      <c r="AI318" t="s">
        <v>744</v>
      </c>
      <c r="AJ318" t="s">
        <v>54</v>
      </c>
      <c r="AK318" s="576">
        <v>55435</v>
      </c>
      <c r="AL318"/>
      <c r="AM318"/>
      <c r="AN318"/>
      <c r="AO318"/>
      <c r="AP318"/>
      <c r="AQ318"/>
      <c r="AR318"/>
      <c r="AS318"/>
      <c r="AT318"/>
      <c r="AU318"/>
      <c r="AV318"/>
      <c r="AW318"/>
      <c r="AX318"/>
      <c r="AY318"/>
      <c r="AZ318"/>
      <c r="BA318"/>
      <c r="BB318"/>
      <c r="BC318"/>
      <c r="BD318"/>
      <c r="BE318"/>
      <c r="BF318"/>
      <c r="BG318"/>
      <c r="BH318"/>
      <c r="BI318"/>
      <c r="BJ318"/>
      <c r="BK318"/>
      <c r="BL318"/>
      <c r="BM318"/>
      <c r="BN318"/>
      <c r="BO318"/>
      <c r="BP318"/>
      <c r="BQ318" t="s">
        <v>1700</v>
      </c>
      <c r="BR318" t="s">
        <v>1701</v>
      </c>
      <c r="BS318" t="s">
        <v>1702</v>
      </c>
      <c r="BT318" t="s">
        <v>1703</v>
      </c>
      <c r="BU318">
        <v>9523457704</v>
      </c>
      <c r="BV318"/>
      <c r="BW318">
        <v>9525125650</v>
      </c>
      <c r="BX318" t="s">
        <v>2604</v>
      </c>
      <c r="BY318" t="s">
        <v>1704</v>
      </c>
      <c r="BZ318"/>
      <c r="CA318" t="s">
        <v>1705</v>
      </c>
      <c r="CB318" t="s">
        <v>744</v>
      </c>
      <c r="CC318" t="s">
        <v>54</v>
      </c>
      <c r="CD318" s="576">
        <v>55422</v>
      </c>
      <c r="CE318"/>
      <c r="CF318" t="s">
        <v>2605</v>
      </c>
      <c r="CG318" t="s">
        <v>2601</v>
      </c>
      <c r="CH318" t="s">
        <v>141</v>
      </c>
      <c r="CI318"/>
      <c r="CJ318"/>
      <c r="CK318"/>
      <c r="CL318"/>
      <c r="CM318">
        <v>1164474250</v>
      </c>
      <c r="CN318">
        <v>461</v>
      </c>
      <c r="CO318">
        <v>200</v>
      </c>
      <c r="CP318"/>
      <c r="CQ318"/>
      <c r="CR318">
        <v>218</v>
      </c>
      <c r="CS318" t="s">
        <v>788</v>
      </c>
      <c r="CT318">
        <v>12</v>
      </c>
      <c r="CU318"/>
      <c r="CV318"/>
      <c r="CW318"/>
      <c r="CX318"/>
      <c r="CY318"/>
      <c r="CZ318"/>
      <c r="DA318"/>
      <c r="DB318"/>
      <c r="DC318"/>
      <c r="DD318"/>
      <c r="DE318"/>
      <c r="DF318"/>
      <c r="DG318"/>
      <c r="DH318"/>
      <c r="DI318"/>
      <c r="DJ318"/>
      <c r="DK318"/>
      <c r="DL318">
        <v>132</v>
      </c>
      <c r="DM318" t="s">
        <v>795</v>
      </c>
      <c r="DN318"/>
      <c r="DO318"/>
      <c r="DP318"/>
      <c r="DQ318"/>
      <c r="DR318"/>
      <c r="DS318"/>
      <c r="DT318"/>
      <c r="DU318"/>
      <c r="DV318"/>
      <c r="DW318"/>
      <c r="DX318"/>
      <c r="DY318"/>
      <c r="DZ318"/>
      <c r="EA318"/>
      <c r="EB318"/>
      <c r="EC318"/>
      <c r="ED318"/>
      <c r="EE318"/>
      <c r="EF318"/>
      <c r="EG318"/>
      <c r="EH318"/>
      <c r="EI318"/>
      <c r="EJ318"/>
      <c r="EK318"/>
      <c r="EL318"/>
      <c r="EM318"/>
      <c r="EN318"/>
      <c r="EO318"/>
      <c r="EP318"/>
      <c r="EQ318"/>
      <c r="ER318">
        <v>89</v>
      </c>
      <c r="ES318"/>
      <c r="ET318"/>
      <c r="EU318"/>
      <c r="EV318" s="439">
        <v>1470</v>
      </c>
      <c r="EW318" t="s">
        <v>828</v>
      </c>
      <c r="EX318" t="s">
        <v>829</v>
      </c>
      <c r="EY318" t="s">
        <v>830</v>
      </c>
      <c r="EZ318" t="s">
        <v>54</v>
      </c>
      <c r="FA318">
        <v>55369</v>
      </c>
      <c r="FB318">
        <v>1881168441</v>
      </c>
    </row>
    <row r="319" spans="1:158" x14ac:dyDescent="0.2">
      <c r="A319" s="439">
        <v>744</v>
      </c>
      <c r="B319" t="s">
        <v>2611</v>
      </c>
      <c r="C319" t="s">
        <v>1110</v>
      </c>
      <c r="D319" t="s">
        <v>2612</v>
      </c>
      <c r="E319" t="s">
        <v>831</v>
      </c>
      <c r="F319" t="s">
        <v>801</v>
      </c>
      <c r="G319" t="s">
        <v>54</v>
      </c>
      <c r="H319" s="576">
        <v>55433</v>
      </c>
      <c r="I319"/>
      <c r="J319" t="s">
        <v>2612</v>
      </c>
      <c r="K319" t="s">
        <v>831</v>
      </c>
      <c r="L319" t="s">
        <v>1110</v>
      </c>
      <c r="M319" t="s">
        <v>801</v>
      </c>
      <c r="N319" t="s">
        <v>54</v>
      </c>
      <c r="O319" s="576">
        <v>55433</v>
      </c>
      <c r="P319"/>
      <c r="Q319">
        <v>7634277300</v>
      </c>
      <c r="R319">
        <v>7634272802</v>
      </c>
      <c r="S319" t="s">
        <v>2597</v>
      </c>
      <c r="T319" t="s">
        <v>1087</v>
      </c>
      <c r="U319" t="s">
        <v>742</v>
      </c>
      <c r="V319" t="s">
        <v>2598</v>
      </c>
      <c r="W319" t="s">
        <v>1697</v>
      </c>
      <c r="X319" t="s">
        <v>1881</v>
      </c>
      <c r="Y319" t="s">
        <v>2599</v>
      </c>
      <c r="Z319" t="s">
        <v>2613</v>
      </c>
      <c r="AA319" t="s">
        <v>2601</v>
      </c>
      <c r="AB319">
        <v>9524567059</v>
      </c>
      <c r="AC319"/>
      <c r="AD319">
        <v>9528474039</v>
      </c>
      <c r="AE319" t="s">
        <v>2602</v>
      </c>
      <c r="AF319" t="s">
        <v>2603</v>
      </c>
      <c r="AG319"/>
      <c r="AH319" t="s">
        <v>967</v>
      </c>
      <c r="AI319" t="s">
        <v>744</v>
      </c>
      <c r="AJ319" t="s">
        <v>54</v>
      </c>
      <c r="AK319" s="576">
        <v>55435</v>
      </c>
      <c r="AL319"/>
      <c r="AM319"/>
      <c r="AN319"/>
      <c r="AO319"/>
      <c r="AP319"/>
      <c r="AQ319"/>
      <c r="AR319"/>
      <c r="AS319"/>
      <c r="AT319"/>
      <c r="AU319"/>
      <c r="AV319"/>
      <c r="AW319"/>
      <c r="AX319"/>
      <c r="AY319"/>
      <c r="AZ319"/>
      <c r="BA319"/>
      <c r="BB319"/>
      <c r="BC319"/>
      <c r="BD319"/>
      <c r="BE319"/>
      <c r="BF319"/>
      <c r="BG319"/>
      <c r="BH319"/>
      <c r="BI319"/>
      <c r="BJ319"/>
      <c r="BK319"/>
      <c r="BL319"/>
      <c r="BM319"/>
      <c r="BN319"/>
      <c r="BO319"/>
      <c r="BP319"/>
      <c r="BQ319" t="s">
        <v>1700</v>
      </c>
      <c r="BR319" t="s">
        <v>1701</v>
      </c>
      <c r="BS319" t="s">
        <v>1702</v>
      </c>
      <c r="BT319" t="s">
        <v>1703</v>
      </c>
      <c r="BU319">
        <v>9523457704</v>
      </c>
      <c r="BV319"/>
      <c r="BW319">
        <v>9525125650</v>
      </c>
      <c r="BX319" t="s">
        <v>2604</v>
      </c>
      <c r="BY319" t="s">
        <v>1704</v>
      </c>
      <c r="BZ319"/>
      <c r="CA319" t="s">
        <v>1705</v>
      </c>
      <c r="CB319" t="s">
        <v>744</v>
      </c>
      <c r="CC319" t="s">
        <v>54</v>
      </c>
      <c r="CD319" s="576">
        <v>55422</v>
      </c>
      <c r="CE319"/>
      <c r="CF319" t="s">
        <v>2605</v>
      </c>
      <c r="CG319" t="s">
        <v>2601</v>
      </c>
      <c r="CH319" t="s">
        <v>141</v>
      </c>
      <c r="CI319"/>
      <c r="CJ319"/>
      <c r="CK319"/>
      <c r="CL319"/>
      <c r="CM319">
        <v>1164474250</v>
      </c>
      <c r="CN319">
        <v>305</v>
      </c>
      <c r="CO319">
        <v>306</v>
      </c>
      <c r="CP319"/>
      <c r="CQ319"/>
      <c r="CR319">
        <v>218</v>
      </c>
      <c r="CS319" t="s">
        <v>788</v>
      </c>
      <c r="CT319">
        <v>12</v>
      </c>
      <c r="CU319"/>
      <c r="CV319"/>
      <c r="CW319"/>
      <c r="CX319"/>
      <c r="CY319"/>
      <c r="CZ319"/>
      <c r="DA319"/>
      <c r="DB319"/>
      <c r="DC319"/>
      <c r="DD319"/>
      <c r="DE319"/>
      <c r="DF319"/>
      <c r="DG319"/>
      <c r="DH319"/>
      <c r="DI319"/>
      <c r="DJ319"/>
      <c r="DK319"/>
      <c r="DL319">
        <v>132</v>
      </c>
      <c r="DM319" t="s">
        <v>2553</v>
      </c>
      <c r="DN319"/>
      <c r="DO319"/>
      <c r="DP319"/>
      <c r="DQ319"/>
      <c r="DR319"/>
      <c r="DS319"/>
      <c r="DT319"/>
      <c r="DU319"/>
      <c r="DV319"/>
      <c r="DW319"/>
      <c r="DX319"/>
      <c r="DY319"/>
      <c r="DZ319"/>
      <c r="EA319"/>
      <c r="EB319"/>
      <c r="EC319"/>
      <c r="ED319"/>
      <c r="EE319"/>
      <c r="EF319"/>
      <c r="EG319"/>
      <c r="EH319"/>
      <c r="EI319"/>
      <c r="EJ319"/>
      <c r="EK319"/>
      <c r="EL319"/>
      <c r="EM319"/>
      <c r="EN319"/>
      <c r="EO319"/>
      <c r="EP319"/>
      <c r="EQ319"/>
      <c r="ER319">
        <v>89</v>
      </c>
      <c r="ES319"/>
      <c r="ET319"/>
      <c r="EU319"/>
      <c r="EV319" s="439">
        <v>412</v>
      </c>
      <c r="EW319" t="s">
        <v>3002</v>
      </c>
      <c r="EX319" t="s">
        <v>829</v>
      </c>
      <c r="EY319" t="s">
        <v>3003</v>
      </c>
      <c r="EZ319" t="s">
        <v>54</v>
      </c>
      <c r="FA319">
        <v>55369</v>
      </c>
      <c r="FB319">
        <v>1417554155</v>
      </c>
    </row>
    <row r="320" spans="1:158" x14ac:dyDescent="0.2">
      <c r="A320" s="439">
        <v>1376</v>
      </c>
      <c r="B320" t="s">
        <v>2614</v>
      </c>
      <c r="C320" t="s">
        <v>822</v>
      </c>
      <c r="D320" t="s">
        <v>2615</v>
      </c>
      <c r="E320" t="s">
        <v>749</v>
      </c>
      <c r="F320" t="s">
        <v>746</v>
      </c>
      <c r="G320" t="s">
        <v>54</v>
      </c>
      <c r="H320" s="576">
        <v>55121</v>
      </c>
      <c r="I320" t="s">
        <v>749</v>
      </c>
      <c r="J320" t="s">
        <v>2615</v>
      </c>
      <c r="K320" t="s">
        <v>749</v>
      </c>
      <c r="L320" t="s">
        <v>822</v>
      </c>
      <c r="M320" t="s">
        <v>746</v>
      </c>
      <c r="N320" t="s">
        <v>54</v>
      </c>
      <c r="O320" s="576">
        <v>55121</v>
      </c>
      <c r="P320" t="s">
        <v>749</v>
      </c>
      <c r="Q320">
        <v>9524567600</v>
      </c>
      <c r="R320">
        <v>9524567601</v>
      </c>
      <c r="S320" t="s">
        <v>2597</v>
      </c>
      <c r="T320" t="s">
        <v>1087</v>
      </c>
      <c r="U320" t="s">
        <v>742</v>
      </c>
      <c r="V320" t="s">
        <v>2598</v>
      </c>
      <c r="W320" t="s">
        <v>1697</v>
      </c>
      <c r="X320" t="s">
        <v>1881</v>
      </c>
      <c r="Y320" t="s">
        <v>2599</v>
      </c>
      <c r="Z320" t="s">
        <v>2600</v>
      </c>
      <c r="AA320" t="s">
        <v>2601</v>
      </c>
      <c r="AB320">
        <v>9524567059</v>
      </c>
      <c r="AC320"/>
      <c r="AD320">
        <v>9528474039</v>
      </c>
      <c r="AE320" t="s">
        <v>2602</v>
      </c>
      <c r="AF320" t="s">
        <v>2603</v>
      </c>
      <c r="AG320"/>
      <c r="AH320" t="s">
        <v>967</v>
      </c>
      <c r="AI320" t="s">
        <v>744</v>
      </c>
      <c r="AJ320" t="s">
        <v>54</v>
      </c>
      <c r="AK320" s="576">
        <v>55435</v>
      </c>
      <c r="AL320"/>
      <c r="AM320"/>
      <c r="AN320"/>
      <c r="AO320"/>
      <c r="AP320"/>
      <c r="AQ320"/>
      <c r="AR320"/>
      <c r="AS320"/>
      <c r="AT320"/>
      <c r="AU320"/>
      <c r="AV320"/>
      <c r="AW320"/>
      <c r="AX320"/>
      <c r="AY320"/>
      <c r="AZ320"/>
      <c r="BA320"/>
      <c r="BB320"/>
      <c r="BC320"/>
      <c r="BD320"/>
      <c r="BE320"/>
      <c r="BF320"/>
      <c r="BG320"/>
      <c r="BH320"/>
      <c r="BI320"/>
      <c r="BJ320"/>
      <c r="BK320"/>
      <c r="BL320"/>
      <c r="BM320"/>
      <c r="BN320"/>
      <c r="BO320"/>
      <c r="BP320"/>
      <c r="BQ320" t="s">
        <v>1700</v>
      </c>
      <c r="BR320" t="s">
        <v>1701</v>
      </c>
      <c r="BS320" t="s">
        <v>1702</v>
      </c>
      <c r="BT320" t="s">
        <v>1703</v>
      </c>
      <c r="BU320">
        <v>9523457704</v>
      </c>
      <c r="BV320"/>
      <c r="BW320">
        <v>9525125650</v>
      </c>
      <c r="BX320" t="s">
        <v>2604</v>
      </c>
      <c r="BY320" t="s">
        <v>1704</v>
      </c>
      <c r="BZ320"/>
      <c r="CA320" t="s">
        <v>1705</v>
      </c>
      <c r="CB320" t="s">
        <v>744</v>
      </c>
      <c r="CC320" t="s">
        <v>54</v>
      </c>
      <c r="CD320" s="576">
        <v>55422</v>
      </c>
      <c r="CE320"/>
      <c r="CF320" t="s">
        <v>2605</v>
      </c>
      <c r="CG320" t="s">
        <v>884</v>
      </c>
      <c r="CH320" t="s">
        <v>143</v>
      </c>
      <c r="CI320"/>
      <c r="CJ320"/>
      <c r="CK320"/>
      <c r="CL320"/>
      <c r="CM320">
        <v>1164474250</v>
      </c>
      <c r="CN320">
        <v>2401</v>
      </c>
      <c r="CO320">
        <v>200</v>
      </c>
      <c r="CP320"/>
      <c r="CQ320"/>
      <c r="CR320">
        <v>218</v>
      </c>
      <c r="CS320" t="s">
        <v>788</v>
      </c>
      <c r="CT320">
        <v>12</v>
      </c>
      <c r="CU320"/>
      <c r="CV320"/>
      <c r="CW320"/>
      <c r="CX320" t="s">
        <v>749</v>
      </c>
      <c r="CY320"/>
      <c r="CZ320" t="s">
        <v>749</v>
      </c>
      <c r="DA320" t="s">
        <v>749</v>
      </c>
      <c r="DB320" t="s">
        <v>749</v>
      </c>
      <c r="DC320" t="s">
        <v>749</v>
      </c>
      <c r="DD320">
        <v>128</v>
      </c>
      <c r="DE320" t="s">
        <v>2258</v>
      </c>
      <c r="DF320"/>
      <c r="DG320"/>
      <c r="DH320"/>
      <c r="DI320"/>
      <c r="DJ320"/>
      <c r="DK320"/>
      <c r="DL320"/>
      <c r="DM320"/>
      <c r="DN320">
        <v>133</v>
      </c>
      <c r="DO320" t="s">
        <v>2616</v>
      </c>
      <c r="DP320"/>
      <c r="DQ320"/>
      <c r="DR320"/>
      <c r="DS320"/>
      <c r="DT320"/>
      <c r="DU320"/>
      <c r="DV320"/>
      <c r="DW320"/>
      <c r="DX320"/>
      <c r="DY320"/>
      <c r="DZ320"/>
      <c r="EA320"/>
      <c r="EB320"/>
      <c r="EC320"/>
      <c r="ED320"/>
      <c r="EE320"/>
      <c r="EF320"/>
      <c r="EG320"/>
      <c r="EH320"/>
      <c r="EI320"/>
      <c r="EJ320"/>
      <c r="EK320"/>
      <c r="EL320"/>
      <c r="EM320"/>
      <c r="EN320"/>
      <c r="EO320"/>
      <c r="EP320"/>
      <c r="EQ320"/>
      <c r="ER320">
        <v>48</v>
      </c>
      <c r="ES320"/>
      <c r="ET320"/>
      <c r="EU320"/>
      <c r="EV320" s="439">
        <v>708</v>
      </c>
      <c r="EW320" t="s">
        <v>1650</v>
      </c>
      <c r="EX320" t="s">
        <v>829</v>
      </c>
      <c r="EY320" t="s">
        <v>1651</v>
      </c>
      <c r="EZ320" t="s">
        <v>54</v>
      </c>
      <c r="FA320">
        <v>55369</v>
      </c>
      <c r="FB320">
        <v>1841315165</v>
      </c>
    </row>
    <row r="321" spans="1:158" x14ac:dyDescent="0.2">
      <c r="A321" s="439">
        <v>1376</v>
      </c>
      <c r="B321" t="s">
        <v>2614</v>
      </c>
      <c r="C321" t="s">
        <v>822</v>
      </c>
      <c r="D321" t="s">
        <v>2615</v>
      </c>
      <c r="E321" t="s">
        <v>749</v>
      </c>
      <c r="F321" t="s">
        <v>746</v>
      </c>
      <c r="G321" t="s">
        <v>54</v>
      </c>
      <c r="H321" s="576">
        <v>55121</v>
      </c>
      <c r="I321" t="s">
        <v>749</v>
      </c>
      <c r="J321" t="s">
        <v>2615</v>
      </c>
      <c r="K321" t="s">
        <v>749</v>
      </c>
      <c r="L321" t="s">
        <v>822</v>
      </c>
      <c r="M321" t="s">
        <v>746</v>
      </c>
      <c r="N321" t="s">
        <v>54</v>
      </c>
      <c r="O321" s="576">
        <v>55121</v>
      </c>
      <c r="P321" t="s">
        <v>749</v>
      </c>
      <c r="Q321">
        <v>9524567600</v>
      </c>
      <c r="R321">
        <v>9524567601</v>
      </c>
      <c r="S321" t="s">
        <v>2597</v>
      </c>
      <c r="T321" t="s">
        <v>1087</v>
      </c>
      <c r="U321" t="s">
        <v>742</v>
      </c>
      <c r="V321" t="s">
        <v>2598</v>
      </c>
      <c r="W321" t="s">
        <v>1697</v>
      </c>
      <c r="X321" t="s">
        <v>1881</v>
      </c>
      <c r="Y321" t="s">
        <v>2599</v>
      </c>
      <c r="Z321" t="s">
        <v>2600</v>
      </c>
      <c r="AA321" t="s">
        <v>2601</v>
      </c>
      <c r="AB321">
        <v>9524567059</v>
      </c>
      <c r="AC321"/>
      <c r="AD321">
        <v>9528474039</v>
      </c>
      <c r="AE321" t="s">
        <v>2602</v>
      </c>
      <c r="AF321" t="s">
        <v>2603</v>
      </c>
      <c r="AG321"/>
      <c r="AH321" t="s">
        <v>967</v>
      </c>
      <c r="AI321" t="s">
        <v>744</v>
      </c>
      <c r="AJ321" t="s">
        <v>54</v>
      </c>
      <c r="AK321" s="576">
        <v>55435</v>
      </c>
      <c r="AL321"/>
      <c r="AM321"/>
      <c r="AN321"/>
      <c r="AO321"/>
      <c r="AP321"/>
      <c r="AQ321"/>
      <c r="AR321"/>
      <c r="AS321"/>
      <c r="AT321"/>
      <c r="AU321"/>
      <c r="AV321"/>
      <c r="AW321"/>
      <c r="AX321"/>
      <c r="AY321"/>
      <c r="AZ321"/>
      <c r="BA321"/>
      <c r="BB321"/>
      <c r="BC321"/>
      <c r="BD321"/>
      <c r="BE321"/>
      <c r="BF321"/>
      <c r="BG321"/>
      <c r="BH321"/>
      <c r="BI321"/>
      <c r="BJ321"/>
      <c r="BK321"/>
      <c r="BL321"/>
      <c r="BM321"/>
      <c r="BN321"/>
      <c r="BO321"/>
      <c r="BP321"/>
      <c r="BQ321" t="s">
        <v>1700</v>
      </c>
      <c r="BR321" t="s">
        <v>1701</v>
      </c>
      <c r="BS321" t="s">
        <v>1702</v>
      </c>
      <c r="BT321" t="s">
        <v>1703</v>
      </c>
      <c r="BU321">
        <v>9523457704</v>
      </c>
      <c r="BV321"/>
      <c r="BW321">
        <v>9525125650</v>
      </c>
      <c r="BX321" t="s">
        <v>2604</v>
      </c>
      <c r="BY321" t="s">
        <v>1704</v>
      </c>
      <c r="BZ321"/>
      <c r="CA321" t="s">
        <v>1705</v>
      </c>
      <c r="CB321" t="s">
        <v>744</v>
      </c>
      <c r="CC321" t="s">
        <v>54</v>
      </c>
      <c r="CD321" s="576">
        <v>55422</v>
      </c>
      <c r="CE321"/>
      <c r="CF321" t="s">
        <v>2605</v>
      </c>
      <c r="CG321" t="s">
        <v>2601</v>
      </c>
      <c r="CH321" t="s">
        <v>141</v>
      </c>
      <c r="CI321"/>
      <c r="CJ321"/>
      <c r="CK321"/>
      <c r="CL321"/>
      <c r="CM321">
        <v>1164474250</v>
      </c>
      <c r="CN321">
        <v>2401</v>
      </c>
      <c r="CO321">
        <v>200</v>
      </c>
      <c r="CP321"/>
      <c r="CQ321"/>
      <c r="CR321">
        <v>218</v>
      </c>
      <c r="CS321" t="s">
        <v>788</v>
      </c>
      <c r="CT321">
        <v>12</v>
      </c>
      <c r="CU321"/>
      <c r="CV321"/>
      <c r="CW321"/>
      <c r="CX321" t="s">
        <v>749</v>
      </c>
      <c r="CY321"/>
      <c r="CZ321" t="s">
        <v>749</v>
      </c>
      <c r="DA321" t="s">
        <v>749</v>
      </c>
      <c r="DB321" t="s">
        <v>749</v>
      </c>
      <c r="DC321" t="s">
        <v>749</v>
      </c>
      <c r="DD321">
        <v>128</v>
      </c>
      <c r="DE321" t="s">
        <v>2258</v>
      </c>
      <c r="DF321"/>
      <c r="DG321"/>
      <c r="DH321"/>
      <c r="DI321"/>
      <c r="DJ321"/>
      <c r="DK321"/>
      <c r="DL321"/>
      <c r="DM321"/>
      <c r="DN321">
        <v>133</v>
      </c>
      <c r="DO321" t="s">
        <v>2616</v>
      </c>
      <c r="DP321"/>
      <c r="DQ321"/>
      <c r="DR321"/>
      <c r="DS321"/>
      <c r="DT321"/>
      <c r="DU321"/>
      <c r="DV321"/>
      <c r="DW321"/>
      <c r="DX321"/>
      <c r="DY321"/>
      <c r="DZ321"/>
      <c r="EA321"/>
      <c r="EB321"/>
      <c r="EC321"/>
      <c r="ED321"/>
      <c r="EE321"/>
      <c r="EF321"/>
      <c r="EG321"/>
      <c r="EH321"/>
      <c r="EI321"/>
      <c r="EJ321"/>
      <c r="EK321"/>
      <c r="EL321"/>
      <c r="EM321"/>
      <c r="EN321"/>
      <c r="EO321"/>
      <c r="EP321"/>
      <c r="EQ321"/>
      <c r="ER321">
        <v>89</v>
      </c>
      <c r="ES321"/>
      <c r="ET321"/>
      <c r="EU321"/>
      <c r="EV321" s="439">
        <v>362</v>
      </c>
      <c r="EW321" t="s">
        <v>3004</v>
      </c>
      <c r="EX321" t="s">
        <v>829</v>
      </c>
      <c r="EY321" t="s">
        <v>1651</v>
      </c>
      <c r="EZ321" t="s">
        <v>54</v>
      </c>
      <c r="FA321">
        <v>55369</v>
      </c>
      <c r="FB321">
        <v>1346468253</v>
      </c>
    </row>
    <row r="322" spans="1:158" x14ac:dyDescent="0.2">
      <c r="A322" s="439">
        <v>545</v>
      </c>
      <c r="B322" t="s">
        <v>2617</v>
      </c>
      <c r="C322" t="s">
        <v>967</v>
      </c>
      <c r="D322" t="s">
        <v>2603</v>
      </c>
      <c r="E322"/>
      <c r="F322" t="s">
        <v>744</v>
      </c>
      <c r="G322" t="s">
        <v>54</v>
      </c>
      <c r="H322" s="576">
        <v>55435</v>
      </c>
      <c r="I322"/>
      <c r="J322" t="s">
        <v>2603</v>
      </c>
      <c r="K322"/>
      <c r="L322" t="s">
        <v>967</v>
      </c>
      <c r="M322" t="s">
        <v>744</v>
      </c>
      <c r="N322" t="s">
        <v>54</v>
      </c>
      <c r="O322" s="576">
        <v>55435</v>
      </c>
      <c r="P322"/>
      <c r="Q322">
        <v>9524567005</v>
      </c>
      <c r="R322">
        <v>9524567599</v>
      </c>
      <c r="S322" t="s">
        <v>2597</v>
      </c>
      <c r="T322" t="s">
        <v>1087</v>
      </c>
      <c r="U322" t="s">
        <v>742</v>
      </c>
      <c r="V322" t="s">
        <v>2598</v>
      </c>
      <c r="W322" t="s">
        <v>1697</v>
      </c>
      <c r="X322" t="s">
        <v>1881</v>
      </c>
      <c r="Y322" t="s">
        <v>2599</v>
      </c>
      <c r="Z322" t="s">
        <v>2600</v>
      </c>
      <c r="AA322" t="s">
        <v>2601</v>
      </c>
      <c r="AB322">
        <v>9524567059</v>
      </c>
      <c r="AC322"/>
      <c r="AD322">
        <v>9528474039</v>
      </c>
      <c r="AE322" t="s">
        <v>2602</v>
      </c>
      <c r="AF322" t="s">
        <v>2603</v>
      </c>
      <c r="AG322"/>
      <c r="AH322" t="s">
        <v>967</v>
      </c>
      <c r="AI322" t="s">
        <v>744</v>
      </c>
      <c r="AJ322" t="s">
        <v>54</v>
      </c>
      <c r="AK322" s="576">
        <v>55435</v>
      </c>
      <c r="AL322"/>
      <c r="AM322"/>
      <c r="AN322"/>
      <c r="AO322"/>
      <c r="AP322"/>
      <c r="AQ322"/>
      <c r="AR322"/>
      <c r="AS322"/>
      <c r="AT322"/>
      <c r="AU322"/>
      <c r="AV322"/>
      <c r="AW322"/>
      <c r="AX322"/>
      <c r="AY322"/>
      <c r="AZ322"/>
      <c r="BA322"/>
      <c r="BB322"/>
      <c r="BC322"/>
      <c r="BD322"/>
      <c r="BE322"/>
      <c r="BF322"/>
      <c r="BG322"/>
      <c r="BH322"/>
      <c r="BI322"/>
      <c r="BJ322"/>
      <c r="BK322"/>
      <c r="BL322"/>
      <c r="BM322"/>
      <c r="BN322"/>
      <c r="BO322"/>
      <c r="BP322"/>
      <c r="BQ322" t="s">
        <v>1700</v>
      </c>
      <c r="BR322" t="s">
        <v>1701</v>
      </c>
      <c r="BS322" t="s">
        <v>1702</v>
      </c>
      <c r="BT322" t="s">
        <v>1703</v>
      </c>
      <c r="BU322">
        <v>9523457704</v>
      </c>
      <c r="BV322"/>
      <c r="BW322">
        <v>9525125650</v>
      </c>
      <c r="BX322" t="s">
        <v>2604</v>
      </c>
      <c r="BY322" t="s">
        <v>1704</v>
      </c>
      <c r="BZ322"/>
      <c r="CA322" t="s">
        <v>1705</v>
      </c>
      <c r="CB322" t="s">
        <v>744</v>
      </c>
      <c r="CC322" t="s">
        <v>54</v>
      </c>
      <c r="CD322" s="576">
        <v>55422</v>
      </c>
      <c r="CE322"/>
      <c r="CF322" t="s">
        <v>2605</v>
      </c>
      <c r="CG322" t="s">
        <v>2601</v>
      </c>
      <c r="CH322" t="s">
        <v>141</v>
      </c>
      <c r="CI322"/>
      <c r="CJ322"/>
      <c r="CK322"/>
      <c r="CL322"/>
      <c r="CM322">
        <v>1164474250</v>
      </c>
      <c r="CN322">
        <v>459</v>
      </c>
      <c r="CO322">
        <v>200</v>
      </c>
      <c r="CP322"/>
      <c r="CQ322"/>
      <c r="CR322">
        <v>218</v>
      </c>
      <c r="CS322" t="s">
        <v>788</v>
      </c>
      <c r="CT322">
        <v>12</v>
      </c>
      <c r="CU322"/>
      <c r="CV322"/>
      <c r="CW322"/>
      <c r="CX322"/>
      <c r="CY322"/>
      <c r="CZ322"/>
      <c r="DA322"/>
      <c r="DB322"/>
      <c r="DC322"/>
      <c r="DD322"/>
      <c r="DE322"/>
      <c r="DF322"/>
      <c r="DG322"/>
      <c r="DH322"/>
      <c r="DI322"/>
      <c r="DJ322"/>
      <c r="DK322"/>
      <c r="DL322">
        <v>132</v>
      </c>
      <c r="DM322" t="s">
        <v>2618</v>
      </c>
      <c r="DN322">
        <v>133</v>
      </c>
      <c r="DO322" t="s">
        <v>826</v>
      </c>
      <c r="DP322"/>
      <c r="DQ322"/>
      <c r="DR322"/>
      <c r="DS322"/>
      <c r="DT322"/>
      <c r="DU322"/>
      <c r="DV322"/>
      <c r="DW322"/>
      <c r="DX322"/>
      <c r="DY322"/>
      <c r="DZ322"/>
      <c r="EA322"/>
      <c r="EB322"/>
      <c r="EC322"/>
      <c r="ED322"/>
      <c r="EE322"/>
      <c r="EF322"/>
      <c r="EG322"/>
      <c r="EH322"/>
      <c r="EI322"/>
      <c r="EJ322"/>
      <c r="EK322"/>
      <c r="EL322"/>
      <c r="EM322"/>
      <c r="EN322"/>
      <c r="EO322"/>
      <c r="EP322"/>
      <c r="EQ322"/>
      <c r="ER322">
        <v>89</v>
      </c>
      <c r="ES322"/>
      <c r="ET322"/>
      <c r="EU322"/>
      <c r="EV322" s="439">
        <v>549</v>
      </c>
      <c r="EW322" t="s">
        <v>1712</v>
      </c>
      <c r="EX322" t="s">
        <v>829</v>
      </c>
      <c r="EY322" t="s">
        <v>1713</v>
      </c>
      <c r="EZ322" t="s">
        <v>54</v>
      </c>
      <c r="FA322">
        <v>55369</v>
      </c>
      <c r="FB322">
        <v>1922009471</v>
      </c>
    </row>
    <row r="323" spans="1:158" x14ac:dyDescent="0.2">
      <c r="A323" s="439">
        <v>1276</v>
      </c>
      <c r="B323" t="s">
        <v>2619</v>
      </c>
      <c r="C323" t="s">
        <v>829</v>
      </c>
      <c r="D323" t="s">
        <v>2265</v>
      </c>
      <c r="E323" t="s">
        <v>911</v>
      </c>
      <c r="F323" t="s">
        <v>744</v>
      </c>
      <c r="G323" t="s">
        <v>54</v>
      </c>
      <c r="H323" s="576">
        <v>55369</v>
      </c>
      <c r="I323"/>
      <c r="J323" t="s">
        <v>2265</v>
      </c>
      <c r="K323" t="s">
        <v>911</v>
      </c>
      <c r="L323" t="s">
        <v>829</v>
      </c>
      <c r="M323" t="s">
        <v>744</v>
      </c>
      <c r="N323" t="s">
        <v>54</v>
      </c>
      <c r="O323" s="576">
        <v>55369</v>
      </c>
      <c r="P323"/>
      <c r="Q323">
        <v>7635207870</v>
      </c>
      <c r="R323">
        <v>7633022451</v>
      </c>
      <c r="S323" t="s">
        <v>2597</v>
      </c>
      <c r="T323" t="s">
        <v>1087</v>
      </c>
      <c r="U323" t="s">
        <v>742</v>
      </c>
      <c r="V323" t="s">
        <v>2598</v>
      </c>
      <c r="W323" t="s">
        <v>1697</v>
      </c>
      <c r="X323" t="s">
        <v>1881</v>
      </c>
      <c r="Y323" t="s">
        <v>2599</v>
      </c>
      <c r="Z323" t="s">
        <v>2600</v>
      </c>
      <c r="AA323" t="s">
        <v>2601</v>
      </c>
      <c r="AB323">
        <v>9524567059</v>
      </c>
      <c r="AC323"/>
      <c r="AD323">
        <v>9528474039</v>
      </c>
      <c r="AE323" t="s">
        <v>2602</v>
      </c>
      <c r="AF323" t="s">
        <v>2603</v>
      </c>
      <c r="AG323"/>
      <c r="AH323" t="s">
        <v>967</v>
      </c>
      <c r="AI323" t="s">
        <v>744</v>
      </c>
      <c r="AJ323" t="s">
        <v>54</v>
      </c>
      <c r="AK323" s="576">
        <v>55435</v>
      </c>
      <c r="AL323"/>
      <c r="AM323"/>
      <c r="AN323"/>
      <c r="AO323"/>
      <c r="AP323"/>
      <c r="AQ323"/>
      <c r="AR323"/>
      <c r="AS323"/>
      <c r="AT323"/>
      <c r="AU323"/>
      <c r="AV323"/>
      <c r="AW323"/>
      <c r="AX323"/>
      <c r="AY323"/>
      <c r="AZ323"/>
      <c r="BA323"/>
      <c r="BB323"/>
      <c r="BC323"/>
      <c r="BD323"/>
      <c r="BE323"/>
      <c r="BF323"/>
      <c r="BG323"/>
      <c r="BH323"/>
      <c r="BI323"/>
      <c r="BJ323"/>
      <c r="BK323"/>
      <c r="BL323"/>
      <c r="BM323"/>
      <c r="BN323"/>
      <c r="BO323"/>
      <c r="BP323"/>
      <c r="BQ323" t="s">
        <v>1700</v>
      </c>
      <c r="BR323" t="s">
        <v>1701</v>
      </c>
      <c r="BS323" t="s">
        <v>1702</v>
      </c>
      <c r="BT323" t="s">
        <v>1703</v>
      </c>
      <c r="BU323">
        <v>9523457704</v>
      </c>
      <c r="BV323"/>
      <c r="BW323">
        <v>9525125650</v>
      </c>
      <c r="BX323" t="s">
        <v>2604</v>
      </c>
      <c r="BY323" t="s">
        <v>1704</v>
      </c>
      <c r="BZ323"/>
      <c r="CA323" t="s">
        <v>1705</v>
      </c>
      <c r="CB323" t="s">
        <v>744</v>
      </c>
      <c r="CC323" t="s">
        <v>54</v>
      </c>
      <c r="CD323" s="576">
        <v>55422</v>
      </c>
      <c r="CE323"/>
      <c r="CF323" t="s">
        <v>2605</v>
      </c>
      <c r="CG323" t="s">
        <v>2601</v>
      </c>
      <c r="CH323" t="s">
        <v>141</v>
      </c>
      <c r="CI323" t="s">
        <v>884</v>
      </c>
      <c r="CJ323" t="s">
        <v>143</v>
      </c>
      <c r="CK323"/>
      <c r="CL323"/>
      <c r="CM323">
        <v>1164474250</v>
      </c>
      <c r="CN323">
        <v>2972</v>
      </c>
      <c r="CO323">
        <v>200</v>
      </c>
      <c r="CP323"/>
      <c r="CQ323"/>
      <c r="CR323">
        <v>218</v>
      </c>
      <c r="CS323" t="s">
        <v>788</v>
      </c>
      <c r="CT323">
        <v>12</v>
      </c>
      <c r="CU323"/>
      <c r="CV323"/>
      <c r="CW323"/>
      <c r="CX323"/>
      <c r="CY323"/>
      <c r="CZ323"/>
      <c r="DA323"/>
      <c r="DB323"/>
      <c r="DC323"/>
      <c r="DD323">
        <v>128</v>
      </c>
      <c r="DE323" t="s">
        <v>2266</v>
      </c>
      <c r="DF323"/>
      <c r="DG323"/>
      <c r="DH323"/>
      <c r="DI323"/>
      <c r="DJ323"/>
      <c r="DK323"/>
      <c r="DL323"/>
      <c r="DM323"/>
      <c r="DN323">
        <v>133</v>
      </c>
      <c r="DO323" t="s">
        <v>2259</v>
      </c>
      <c r="DP323"/>
      <c r="DQ323"/>
      <c r="DR323"/>
      <c r="DS323"/>
      <c r="DT323"/>
      <c r="DU323"/>
      <c r="DV323"/>
      <c r="DW323"/>
      <c r="DX323"/>
      <c r="DY323"/>
      <c r="DZ323"/>
      <c r="EA323"/>
      <c r="EB323"/>
      <c r="EC323"/>
      <c r="ED323"/>
      <c r="EE323"/>
      <c r="EF323"/>
      <c r="EG323"/>
      <c r="EH323"/>
      <c r="EI323"/>
      <c r="EJ323"/>
      <c r="EK323"/>
      <c r="EL323"/>
      <c r="EM323"/>
      <c r="EN323"/>
      <c r="EO323"/>
      <c r="EP323"/>
      <c r="EQ323"/>
      <c r="ER323">
        <v>89</v>
      </c>
      <c r="ES323">
        <v>48</v>
      </c>
      <c r="ET323"/>
      <c r="EU323"/>
      <c r="EV323" s="439">
        <v>191</v>
      </c>
      <c r="EW323" t="s">
        <v>3005</v>
      </c>
      <c r="EX323" t="s">
        <v>829</v>
      </c>
      <c r="EY323" t="s">
        <v>3006</v>
      </c>
      <c r="EZ323" t="s">
        <v>54</v>
      </c>
      <c r="FA323">
        <v>55369</v>
      </c>
      <c r="FB323">
        <v>1225272552</v>
      </c>
    </row>
    <row r="324" spans="1:158" x14ac:dyDescent="0.2">
      <c r="A324" s="439">
        <v>1682</v>
      </c>
      <c r="B324" t="s">
        <v>2620</v>
      </c>
      <c r="C324" t="s">
        <v>1128</v>
      </c>
      <c r="D324" t="s">
        <v>2621</v>
      </c>
      <c r="E324"/>
      <c r="F324" t="s">
        <v>744</v>
      </c>
      <c r="G324" t="s">
        <v>54</v>
      </c>
      <c r="H324" s="576">
        <v>55446</v>
      </c>
      <c r="I324"/>
      <c r="J324" t="s">
        <v>2621</v>
      </c>
      <c r="K324"/>
      <c r="L324" t="s">
        <v>1128</v>
      </c>
      <c r="M324" t="s">
        <v>744</v>
      </c>
      <c r="N324" t="s">
        <v>54</v>
      </c>
      <c r="O324" s="576">
        <v>55446</v>
      </c>
      <c r="P324"/>
      <c r="Q324">
        <v>7635207870</v>
      </c>
      <c r="R324">
        <v>9525125651</v>
      </c>
      <c r="S324" t="s">
        <v>2597</v>
      </c>
      <c r="T324" t="s">
        <v>1087</v>
      </c>
      <c r="U324" t="s">
        <v>742</v>
      </c>
      <c r="V324" t="s">
        <v>2598</v>
      </c>
      <c r="W324" t="s">
        <v>1697</v>
      </c>
      <c r="X324" t="s">
        <v>1881</v>
      </c>
      <c r="Y324" t="s">
        <v>2599</v>
      </c>
      <c r="Z324" t="s">
        <v>2600</v>
      </c>
      <c r="AA324" t="s">
        <v>2601</v>
      </c>
      <c r="AB324">
        <v>9524567059</v>
      </c>
      <c r="AC324"/>
      <c r="AD324">
        <v>9528474039</v>
      </c>
      <c r="AE324" t="s">
        <v>2602</v>
      </c>
      <c r="AF324" t="s">
        <v>2603</v>
      </c>
      <c r="AG324"/>
      <c r="AH324" t="s">
        <v>967</v>
      </c>
      <c r="AI324" t="s">
        <v>744</v>
      </c>
      <c r="AJ324" t="s">
        <v>54</v>
      </c>
      <c r="AK324" s="576">
        <v>55435</v>
      </c>
      <c r="AL324"/>
      <c r="AM324"/>
      <c r="AN324"/>
      <c r="AO324"/>
      <c r="AP324"/>
      <c r="AQ324"/>
      <c r="AR324"/>
      <c r="AS324"/>
      <c r="AT324"/>
      <c r="AU324"/>
      <c r="AV324"/>
      <c r="AW324"/>
      <c r="AX324"/>
      <c r="AY324"/>
      <c r="AZ324"/>
      <c r="BA324"/>
      <c r="BB324"/>
      <c r="BC324"/>
      <c r="BD324"/>
      <c r="BE324"/>
      <c r="BF324"/>
      <c r="BG324"/>
      <c r="BH324"/>
      <c r="BI324"/>
      <c r="BJ324"/>
      <c r="BK324"/>
      <c r="BL324"/>
      <c r="BM324"/>
      <c r="BN324"/>
      <c r="BO324"/>
      <c r="BP324"/>
      <c r="BQ324" t="s">
        <v>1700</v>
      </c>
      <c r="BR324" t="s">
        <v>1701</v>
      </c>
      <c r="BS324" t="s">
        <v>1702</v>
      </c>
      <c r="BT324" t="s">
        <v>1703</v>
      </c>
      <c r="BU324">
        <v>9523457704</v>
      </c>
      <c r="BV324"/>
      <c r="BW324">
        <v>9525125650</v>
      </c>
      <c r="BX324" t="s">
        <v>2604</v>
      </c>
      <c r="BY324" t="s">
        <v>1704</v>
      </c>
      <c r="BZ324"/>
      <c r="CA324" t="s">
        <v>1705</v>
      </c>
      <c r="CB324" t="s">
        <v>744</v>
      </c>
      <c r="CC324" t="s">
        <v>54</v>
      </c>
      <c r="CD324" s="576">
        <v>55422</v>
      </c>
      <c r="CE324"/>
      <c r="CF324" t="s">
        <v>2605</v>
      </c>
      <c r="CG324" t="s">
        <v>2601</v>
      </c>
      <c r="CH324" t="s">
        <v>141</v>
      </c>
      <c r="CI324"/>
      <c r="CJ324"/>
      <c r="CK324"/>
      <c r="CL324"/>
      <c r="CM324">
        <v>1164474250</v>
      </c>
      <c r="CN324">
        <v>476</v>
      </c>
      <c r="CO324">
        <v>200</v>
      </c>
      <c r="CP324"/>
      <c r="CQ324"/>
      <c r="CR324">
        <v>218</v>
      </c>
      <c r="CS324" t="s">
        <v>788</v>
      </c>
      <c r="CT324">
        <v>12</v>
      </c>
      <c r="CU324"/>
      <c r="CV324"/>
      <c r="CW324"/>
      <c r="CX324"/>
      <c r="CY324"/>
      <c r="CZ324"/>
      <c r="DA324"/>
      <c r="DB324"/>
      <c r="DC324"/>
      <c r="DD324"/>
      <c r="DE324"/>
      <c r="DF324"/>
      <c r="DG324"/>
      <c r="DH324"/>
      <c r="DI324"/>
      <c r="DJ324"/>
      <c r="DK324"/>
      <c r="DL324">
        <v>132</v>
      </c>
      <c r="DM324" t="s">
        <v>2553</v>
      </c>
      <c r="DN324"/>
      <c r="DO324"/>
      <c r="DP324"/>
      <c r="DQ324"/>
      <c r="DR324"/>
      <c r="DS324"/>
      <c r="DT324"/>
      <c r="DU324"/>
      <c r="DV324"/>
      <c r="DW324"/>
      <c r="DX324"/>
      <c r="DY324"/>
      <c r="DZ324"/>
      <c r="EA324"/>
      <c r="EB324"/>
      <c r="EC324"/>
      <c r="ED324"/>
      <c r="EE324"/>
      <c r="EF324"/>
      <c r="EG324"/>
      <c r="EH324"/>
      <c r="EI324"/>
      <c r="EJ324"/>
      <c r="EK324"/>
      <c r="EL324"/>
      <c r="EM324"/>
      <c r="EN324"/>
      <c r="EO324"/>
      <c r="EP324"/>
      <c r="EQ324"/>
      <c r="ER324">
        <v>89</v>
      </c>
      <c r="ES324"/>
      <c r="ET324"/>
      <c r="EU324"/>
      <c r="EV324" s="439">
        <v>403</v>
      </c>
      <c r="EW324" t="s">
        <v>3007</v>
      </c>
      <c r="EX324" t="s">
        <v>829</v>
      </c>
      <c r="EY324" t="s">
        <v>3008</v>
      </c>
      <c r="EZ324" t="s">
        <v>54</v>
      </c>
      <c r="FA324">
        <v>55369</v>
      </c>
      <c r="FB324">
        <v>1144745951</v>
      </c>
    </row>
    <row r="325" spans="1:158" x14ac:dyDescent="0.2">
      <c r="A325" s="439">
        <v>755</v>
      </c>
      <c r="B325" t="s">
        <v>2622</v>
      </c>
      <c r="C325" t="s">
        <v>2623</v>
      </c>
      <c r="D325" t="s">
        <v>2624</v>
      </c>
      <c r="E325"/>
      <c r="F325" t="s">
        <v>838</v>
      </c>
      <c r="G325" t="s">
        <v>54</v>
      </c>
      <c r="H325" s="576">
        <v>55082</v>
      </c>
      <c r="I325"/>
      <c r="J325" t="s">
        <v>2624</v>
      </c>
      <c r="K325" t="s">
        <v>749</v>
      </c>
      <c r="L325" t="s">
        <v>2623</v>
      </c>
      <c r="M325" t="s">
        <v>838</v>
      </c>
      <c r="N325" t="s">
        <v>54</v>
      </c>
      <c r="O325" s="576">
        <v>55082</v>
      </c>
      <c r="P325" s="576">
        <v>232</v>
      </c>
      <c r="Q325">
        <v>6514398807</v>
      </c>
      <c r="R325">
        <v>6514390232</v>
      </c>
      <c r="S325" t="s">
        <v>2597</v>
      </c>
      <c r="T325" t="s">
        <v>1087</v>
      </c>
      <c r="U325" t="s">
        <v>742</v>
      </c>
      <c r="V325" t="s">
        <v>2598</v>
      </c>
      <c r="W325" t="s">
        <v>1697</v>
      </c>
      <c r="X325" t="s">
        <v>1881</v>
      </c>
      <c r="Y325" t="s">
        <v>2599</v>
      </c>
      <c r="Z325" t="s">
        <v>2613</v>
      </c>
      <c r="AA325" t="s">
        <v>2601</v>
      </c>
      <c r="AB325">
        <v>9528474039</v>
      </c>
      <c r="AC325"/>
      <c r="AD325">
        <v>9528320477</v>
      </c>
      <c r="AE325" t="s">
        <v>2602</v>
      </c>
      <c r="AF325" t="s">
        <v>2603</v>
      </c>
      <c r="AG325"/>
      <c r="AH325" t="s">
        <v>967</v>
      </c>
      <c r="AI325" t="s">
        <v>744</v>
      </c>
      <c r="AJ325" t="s">
        <v>54</v>
      </c>
      <c r="AK325" s="576">
        <v>55435</v>
      </c>
      <c r="AL325"/>
      <c r="AM325"/>
      <c r="AN325"/>
      <c r="AO325"/>
      <c r="AP325"/>
      <c r="AQ325"/>
      <c r="AR325"/>
      <c r="AS325"/>
      <c r="AT325"/>
      <c r="AU325"/>
      <c r="AV325"/>
      <c r="AW325"/>
      <c r="AX325"/>
      <c r="AY325"/>
      <c r="AZ325"/>
      <c r="BA325"/>
      <c r="BB325"/>
      <c r="BC325"/>
      <c r="BD325"/>
      <c r="BE325"/>
      <c r="BF325"/>
      <c r="BG325"/>
      <c r="BH325"/>
      <c r="BI325"/>
      <c r="BJ325"/>
      <c r="BK325"/>
      <c r="BL325"/>
      <c r="BM325"/>
      <c r="BN325"/>
      <c r="BO325"/>
      <c r="BP325"/>
      <c r="BQ325" t="s">
        <v>1700</v>
      </c>
      <c r="BR325" t="s">
        <v>1701</v>
      </c>
      <c r="BS325" t="s">
        <v>1702</v>
      </c>
      <c r="BT325" t="s">
        <v>1703</v>
      </c>
      <c r="BU325">
        <v>9523457704</v>
      </c>
      <c r="BV325"/>
      <c r="BW325">
        <v>9525125650</v>
      </c>
      <c r="BX325" t="s">
        <v>2604</v>
      </c>
      <c r="BY325" t="s">
        <v>1704</v>
      </c>
      <c r="BZ325"/>
      <c r="CA325" t="s">
        <v>1705</v>
      </c>
      <c r="CB325" t="s">
        <v>744</v>
      </c>
      <c r="CC325" t="s">
        <v>54</v>
      </c>
      <c r="CD325" s="576">
        <v>55422</v>
      </c>
      <c r="CE325"/>
      <c r="CF325" t="s">
        <v>2605</v>
      </c>
      <c r="CG325" t="s">
        <v>2601</v>
      </c>
      <c r="CH325" t="s">
        <v>141</v>
      </c>
      <c r="CI325"/>
      <c r="CJ325"/>
      <c r="CK325"/>
      <c r="CL325"/>
      <c r="CM325">
        <v>1164474250</v>
      </c>
      <c r="CN325">
        <v>210</v>
      </c>
      <c r="CO325">
        <v>259</v>
      </c>
      <c r="CP325"/>
      <c r="CQ325"/>
      <c r="CR325">
        <v>218</v>
      </c>
      <c r="CS325" t="s">
        <v>788</v>
      </c>
      <c r="CT325">
        <v>12</v>
      </c>
      <c r="CU325"/>
      <c r="CV325"/>
      <c r="CW325"/>
      <c r="CX325"/>
      <c r="CY325"/>
      <c r="CZ325"/>
      <c r="DA325"/>
      <c r="DB325"/>
      <c r="DC325"/>
      <c r="DD325"/>
      <c r="DE325"/>
      <c r="DF325"/>
      <c r="DG325"/>
      <c r="DH325"/>
      <c r="DI325"/>
      <c r="DJ325"/>
      <c r="DK325"/>
      <c r="DL325">
        <v>132</v>
      </c>
      <c r="DM325" t="s">
        <v>789</v>
      </c>
      <c r="DN325"/>
      <c r="DO325"/>
      <c r="DP325"/>
      <c r="DQ325"/>
      <c r="DR325"/>
      <c r="DS325"/>
      <c r="DT325"/>
      <c r="DU325"/>
      <c r="DV325"/>
      <c r="DW325"/>
      <c r="DX325"/>
      <c r="DY325"/>
      <c r="DZ325"/>
      <c r="EA325"/>
      <c r="EB325"/>
      <c r="EC325"/>
      <c r="ED325"/>
      <c r="EE325"/>
      <c r="EF325"/>
      <c r="EG325"/>
      <c r="EH325"/>
      <c r="EI325"/>
      <c r="EJ325"/>
      <c r="EK325"/>
      <c r="EL325"/>
      <c r="EM325"/>
      <c r="EN325"/>
      <c r="EO325"/>
      <c r="EP325"/>
      <c r="EQ325"/>
      <c r="ER325">
        <v>89</v>
      </c>
      <c r="ES325"/>
      <c r="ET325"/>
      <c r="EU325"/>
      <c r="EV325" s="439">
        <v>1379</v>
      </c>
      <c r="EW325" t="s">
        <v>3009</v>
      </c>
      <c r="EX325" t="s">
        <v>829</v>
      </c>
      <c r="EY325" t="s">
        <v>3008</v>
      </c>
      <c r="EZ325" t="s">
        <v>54</v>
      </c>
      <c r="FA325">
        <v>55369</v>
      </c>
      <c r="FB325">
        <v>1992739247</v>
      </c>
    </row>
    <row r="326" spans="1:158" x14ac:dyDescent="0.2">
      <c r="A326" s="439">
        <v>1407</v>
      </c>
      <c r="B326" t="s">
        <v>2625</v>
      </c>
      <c r="C326" t="s">
        <v>835</v>
      </c>
      <c r="D326" t="s">
        <v>2626</v>
      </c>
      <c r="E326"/>
      <c r="F326" t="s">
        <v>838</v>
      </c>
      <c r="G326" t="s">
        <v>54</v>
      </c>
      <c r="H326" s="576">
        <v>55129</v>
      </c>
      <c r="I326"/>
      <c r="J326" t="s">
        <v>2626</v>
      </c>
      <c r="K326"/>
      <c r="L326" t="s">
        <v>835</v>
      </c>
      <c r="M326" t="s">
        <v>838</v>
      </c>
      <c r="N326" t="s">
        <v>54</v>
      </c>
      <c r="O326" s="576">
        <v>55129</v>
      </c>
      <c r="P326"/>
      <c r="Q326">
        <v>6514398807</v>
      </c>
      <c r="R326">
        <v>6514390232</v>
      </c>
      <c r="S326" t="s">
        <v>2597</v>
      </c>
      <c r="T326" t="s">
        <v>1087</v>
      </c>
      <c r="U326" t="s">
        <v>742</v>
      </c>
      <c r="V326" t="s">
        <v>2598</v>
      </c>
      <c r="W326" t="s">
        <v>1697</v>
      </c>
      <c r="X326" t="s">
        <v>1881</v>
      </c>
      <c r="Y326" t="s">
        <v>2599</v>
      </c>
      <c r="Z326" t="s">
        <v>2600</v>
      </c>
      <c r="AA326" t="s">
        <v>2601</v>
      </c>
      <c r="AB326">
        <v>9524567059</v>
      </c>
      <c r="AC326"/>
      <c r="AD326">
        <v>9528474039</v>
      </c>
      <c r="AE326" t="s">
        <v>2602</v>
      </c>
      <c r="AF326" t="s">
        <v>2603</v>
      </c>
      <c r="AG326"/>
      <c r="AH326" t="s">
        <v>967</v>
      </c>
      <c r="AI326" t="s">
        <v>744</v>
      </c>
      <c r="AJ326" t="s">
        <v>54</v>
      </c>
      <c r="AK326" s="576">
        <v>55435</v>
      </c>
      <c r="AL326"/>
      <c r="AM326"/>
      <c r="AN326"/>
      <c r="AO326"/>
      <c r="AP326"/>
      <c r="AQ326"/>
      <c r="AR326"/>
      <c r="AS326"/>
      <c r="AT326"/>
      <c r="AU326"/>
      <c r="AV326"/>
      <c r="AW326"/>
      <c r="AX326"/>
      <c r="AY326"/>
      <c r="AZ326"/>
      <c r="BA326"/>
      <c r="BB326"/>
      <c r="BC326"/>
      <c r="BD326"/>
      <c r="BE326"/>
      <c r="BF326"/>
      <c r="BG326"/>
      <c r="BH326"/>
      <c r="BI326"/>
      <c r="BJ326"/>
      <c r="BK326"/>
      <c r="BL326"/>
      <c r="BM326"/>
      <c r="BN326"/>
      <c r="BO326"/>
      <c r="BP326"/>
      <c r="BQ326" t="s">
        <v>1700</v>
      </c>
      <c r="BR326" t="s">
        <v>1701</v>
      </c>
      <c r="BS326" t="s">
        <v>1702</v>
      </c>
      <c r="BT326" t="s">
        <v>1703</v>
      </c>
      <c r="BU326">
        <v>9523457704</v>
      </c>
      <c r="BV326"/>
      <c r="BW326">
        <v>9525125650</v>
      </c>
      <c r="BX326" t="s">
        <v>2604</v>
      </c>
      <c r="BY326" t="s">
        <v>1704</v>
      </c>
      <c r="BZ326"/>
      <c r="CA326" t="s">
        <v>1705</v>
      </c>
      <c r="CB326" t="s">
        <v>744</v>
      </c>
      <c r="CC326" t="s">
        <v>54</v>
      </c>
      <c r="CD326" s="576">
        <v>55422</v>
      </c>
      <c r="CE326"/>
      <c r="CF326" t="s">
        <v>2605</v>
      </c>
      <c r="CG326" t="s">
        <v>2601</v>
      </c>
      <c r="CH326" t="s">
        <v>141</v>
      </c>
      <c r="CI326"/>
      <c r="CJ326"/>
      <c r="CK326"/>
      <c r="CL326"/>
      <c r="CM326">
        <v>1164474250</v>
      </c>
      <c r="CN326">
        <v>184</v>
      </c>
      <c r="CO326">
        <v>200</v>
      </c>
      <c r="CP326"/>
      <c r="CQ326"/>
      <c r="CR326">
        <v>218</v>
      </c>
      <c r="CS326" t="s">
        <v>788</v>
      </c>
      <c r="CT326">
        <v>12</v>
      </c>
      <c r="CU326"/>
      <c r="CV326"/>
      <c r="CW326"/>
      <c r="CX326"/>
      <c r="CY326"/>
      <c r="CZ326"/>
      <c r="DA326"/>
      <c r="DB326"/>
      <c r="DC326"/>
      <c r="DD326"/>
      <c r="DE326"/>
      <c r="DF326"/>
      <c r="DG326"/>
      <c r="DH326"/>
      <c r="DI326"/>
      <c r="DJ326"/>
      <c r="DK326"/>
      <c r="DL326">
        <v>132</v>
      </c>
      <c r="DM326" t="s">
        <v>789</v>
      </c>
      <c r="DN326">
        <v>133</v>
      </c>
      <c r="DO326" t="s">
        <v>2259</v>
      </c>
      <c r="DP326"/>
      <c r="DQ326"/>
      <c r="DR326"/>
      <c r="DS326"/>
      <c r="DT326"/>
      <c r="DU326"/>
      <c r="DV326"/>
      <c r="DW326"/>
      <c r="DX326"/>
      <c r="DY326"/>
      <c r="DZ326"/>
      <c r="EA326"/>
      <c r="EB326"/>
      <c r="EC326"/>
      <c r="ED326"/>
      <c r="EE326"/>
      <c r="EF326"/>
      <c r="EG326"/>
      <c r="EH326"/>
      <c r="EI326"/>
      <c r="EJ326"/>
      <c r="EK326"/>
      <c r="EL326"/>
      <c r="EM326"/>
      <c r="EN326"/>
      <c r="EO326"/>
      <c r="EP326"/>
      <c r="EQ326"/>
      <c r="ER326">
        <v>89</v>
      </c>
      <c r="ES326"/>
      <c r="ET326"/>
      <c r="EU326"/>
      <c r="EV326" s="439">
        <v>1465</v>
      </c>
      <c r="EW326" t="s">
        <v>1968</v>
      </c>
      <c r="EX326" t="s">
        <v>829</v>
      </c>
      <c r="EY326" t="s">
        <v>1969</v>
      </c>
      <c r="EZ326" t="s">
        <v>54</v>
      </c>
      <c r="FA326">
        <v>55369</v>
      </c>
      <c r="FB326">
        <v>1790494318</v>
      </c>
    </row>
    <row r="327" spans="1:158" x14ac:dyDescent="0.2">
      <c r="A327" s="439">
        <v>1225</v>
      </c>
      <c r="B327" t="s">
        <v>2627</v>
      </c>
      <c r="C327" t="s">
        <v>901</v>
      </c>
      <c r="D327" t="s">
        <v>2628</v>
      </c>
      <c r="E327"/>
      <c r="F327"/>
      <c r="G327" t="s">
        <v>54</v>
      </c>
      <c r="H327" s="576">
        <v>55455</v>
      </c>
      <c r="I327"/>
      <c r="J327" t="s">
        <v>2628</v>
      </c>
      <c r="K327"/>
      <c r="L327" t="s">
        <v>901</v>
      </c>
      <c r="M327" t="s">
        <v>744</v>
      </c>
      <c r="N327" t="s">
        <v>54</v>
      </c>
      <c r="O327" s="576">
        <v>55455</v>
      </c>
      <c r="P327"/>
      <c r="Q327">
        <v>6126765957</v>
      </c>
      <c r="R327">
        <v>6126765173</v>
      </c>
      <c r="S327" t="s">
        <v>1086</v>
      </c>
      <c r="T327" t="s">
        <v>1087</v>
      </c>
      <c r="U327" t="s">
        <v>2629</v>
      </c>
      <c r="V327" t="s">
        <v>1088</v>
      </c>
      <c r="W327" t="s">
        <v>2630</v>
      </c>
      <c r="X327" t="s">
        <v>1086</v>
      </c>
      <c r="Y327" t="s">
        <v>1087</v>
      </c>
      <c r="Z327" t="s">
        <v>2629</v>
      </c>
      <c r="AA327" t="s">
        <v>2627</v>
      </c>
      <c r="AB327">
        <v>6126765189</v>
      </c>
      <c r="AC327"/>
      <c r="AD327">
        <v>6126765173</v>
      </c>
      <c r="AE327" t="s">
        <v>1088</v>
      </c>
      <c r="AF327" t="s">
        <v>2628</v>
      </c>
      <c r="AG327"/>
      <c r="AH327" t="s">
        <v>901</v>
      </c>
      <c r="AI327" t="s">
        <v>744</v>
      </c>
      <c r="AJ327" t="s">
        <v>54</v>
      </c>
      <c r="AK327" s="576">
        <v>55455</v>
      </c>
      <c r="AL327"/>
      <c r="AM327"/>
      <c r="AN327"/>
      <c r="AO327"/>
      <c r="AP327"/>
      <c r="AQ327"/>
      <c r="AR327"/>
      <c r="AS327"/>
      <c r="AT327"/>
      <c r="AU327"/>
      <c r="AV327"/>
      <c r="AW327"/>
      <c r="AX327"/>
      <c r="AY327"/>
      <c r="AZ327"/>
      <c r="BA327"/>
      <c r="BB327"/>
      <c r="BC327"/>
      <c r="BD327"/>
      <c r="BE327"/>
      <c r="BF327"/>
      <c r="BG327"/>
      <c r="BH327"/>
      <c r="BI327"/>
      <c r="BJ327"/>
      <c r="BK327"/>
      <c r="BL327"/>
      <c r="BM327"/>
      <c r="BN327"/>
      <c r="BO327"/>
      <c r="BP327"/>
      <c r="BQ327" t="s">
        <v>1086</v>
      </c>
      <c r="BR327" t="s">
        <v>1087</v>
      </c>
      <c r="BS327" t="s">
        <v>2629</v>
      </c>
      <c r="BT327" t="s">
        <v>2627</v>
      </c>
      <c r="BU327">
        <v>6126765189</v>
      </c>
      <c r="BV327"/>
      <c r="BW327">
        <v>6126765173</v>
      </c>
      <c r="BX327" t="s">
        <v>1088</v>
      </c>
      <c r="BY327" t="s">
        <v>2628</v>
      </c>
      <c r="BZ327"/>
      <c r="CA327" t="s">
        <v>901</v>
      </c>
      <c r="CB327" t="s">
        <v>744</v>
      </c>
      <c r="CC327" t="s">
        <v>54</v>
      </c>
      <c r="CD327" s="576">
        <v>55455</v>
      </c>
      <c r="CE327"/>
      <c r="CF327" t="s">
        <v>2631</v>
      </c>
      <c r="CG327" t="s">
        <v>1094</v>
      </c>
      <c r="CH327" t="s">
        <v>141</v>
      </c>
      <c r="CI327" t="s">
        <v>1095</v>
      </c>
      <c r="CJ327" t="s">
        <v>141</v>
      </c>
      <c r="CK327" t="s">
        <v>1094</v>
      </c>
      <c r="CL327" t="s">
        <v>142</v>
      </c>
      <c r="CM327">
        <v>1639553779</v>
      </c>
      <c r="CN327">
        <v>112</v>
      </c>
      <c r="CO327">
        <v>243</v>
      </c>
      <c r="CP327"/>
      <c r="CQ327"/>
      <c r="CR327">
        <v>243</v>
      </c>
      <c r="CS327" t="s">
        <v>788</v>
      </c>
      <c r="CT327">
        <v>12</v>
      </c>
      <c r="CU327"/>
      <c r="CV327"/>
      <c r="CW327"/>
      <c r="CX327"/>
      <c r="CY327"/>
      <c r="CZ327"/>
      <c r="DA327"/>
      <c r="DB327"/>
      <c r="DC327"/>
      <c r="DD327">
        <v>128</v>
      </c>
      <c r="DE327" t="s">
        <v>1659</v>
      </c>
      <c r="DF327"/>
      <c r="DG327"/>
      <c r="DH327">
        <v>129</v>
      </c>
      <c r="DI327" t="s">
        <v>1659</v>
      </c>
      <c r="DJ327"/>
      <c r="DK327"/>
      <c r="DL327"/>
      <c r="DM327"/>
      <c r="DN327"/>
      <c r="DO327"/>
      <c r="DP327"/>
      <c r="DQ327"/>
      <c r="DR327"/>
      <c r="DS327"/>
      <c r="DT327"/>
      <c r="DU327"/>
      <c r="DV327"/>
      <c r="DW327"/>
      <c r="DX327"/>
      <c r="DY327"/>
      <c r="DZ327"/>
      <c r="EA327"/>
      <c r="EB327"/>
      <c r="EC327"/>
      <c r="ED327"/>
      <c r="EE327"/>
      <c r="EF327"/>
      <c r="EG327"/>
      <c r="EH327"/>
      <c r="EI327"/>
      <c r="EJ327"/>
      <c r="EK327"/>
      <c r="EL327"/>
      <c r="EM327"/>
      <c r="EN327"/>
      <c r="EO327"/>
      <c r="EP327"/>
      <c r="EQ327"/>
      <c r="ER327">
        <v>79</v>
      </c>
      <c r="ES327">
        <v>11</v>
      </c>
      <c r="ET327">
        <v>79</v>
      </c>
      <c r="EU327"/>
      <c r="EV327" s="439">
        <v>417</v>
      </c>
      <c r="EW327" t="s">
        <v>3010</v>
      </c>
      <c r="EX327" t="s">
        <v>829</v>
      </c>
      <c r="EY327" t="s">
        <v>1969</v>
      </c>
      <c r="EZ327" t="s">
        <v>54</v>
      </c>
      <c r="FA327">
        <v>55369</v>
      </c>
      <c r="FB327">
        <v>1669496345</v>
      </c>
    </row>
    <row r="328" spans="1:158" x14ac:dyDescent="0.2">
      <c r="A328" s="439">
        <v>601</v>
      </c>
      <c r="B328" t="s">
        <v>2632</v>
      </c>
      <c r="C328" t="s">
        <v>822</v>
      </c>
      <c r="D328" t="s">
        <v>2633</v>
      </c>
      <c r="E328"/>
      <c r="F328" t="s">
        <v>746</v>
      </c>
      <c r="G328" t="s">
        <v>54</v>
      </c>
      <c r="H328" s="576">
        <v>55121</v>
      </c>
      <c r="I328"/>
      <c r="J328" t="s">
        <v>2633</v>
      </c>
      <c r="K328"/>
      <c r="L328" t="s">
        <v>822</v>
      </c>
      <c r="M328" t="s">
        <v>746</v>
      </c>
      <c r="N328" t="s">
        <v>54</v>
      </c>
      <c r="O328" s="576">
        <v>55121</v>
      </c>
      <c r="P328"/>
      <c r="Q328">
        <v>6517899900</v>
      </c>
      <c r="R328">
        <v>6517899901</v>
      </c>
      <c r="S328" t="s">
        <v>2634</v>
      </c>
      <c r="T328" t="s">
        <v>2635</v>
      </c>
      <c r="U328" t="s">
        <v>1836</v>
      </c>
      <c r="V328" t="s">
        <v>2636</v>
      </c>
      <c r="W328"/>
      <c r="X328" t="s">
        <v>2637</v>
      </c>
      <c r="Y328" t="s">
        <v>2638</v>
      </c>
      <c r="Z328" t="s">
        <v>1975</v>
      </c>
      <c r="AA328" t="s">
        <v>2639</v>
      </c>
      <c r="AB328">
        <v>9527674405</v>
      </c>
      <c r="AC328"/>
      <c r="AD328">
        <v>9528571554</v>
      </c>
      <c r="AE328" t="s">
        <v>2640</v>
      </c>
      <c r="AF328" t="s">
        <v>2641</v>
      </c>
      <c r="AG328" t="s">
        <v>911</v>
      </c>
      <c r="AH328" t="s">
        <v>2043</v>
      </c>
      <c r="AI328" t="s">
        <v>744</v>
      </c>
      <c r="AJ328" t="s">
        <v>54</v>
      </c>
      <c r="AK328" s="576">
        <v>55435</v>
      </c>
      <c r="AL328"/>
      <c r="AM328" t="s">
        <v>1199</v>
      </c>
      <c r="AN328" t="s">
        <v>2642</v>
      </c>
      <c r="AO328" t="s">
        <v>2643</v>
      </c>
      <c r="AP328" t="s">
        <v>2639</v>
      </c>
      <c r="AQ328">
        <v>9528570641</v>
      </c>
      <c r="AR328"/>
      <c r="AS328">
        <v>9528571554</v>
      </c>
      <c r="AT328" t="s">
        <v>2644</v>
      </c>
      <c r="AU328" t="s">
        <v>2641</v>
      </c>
      <c r="AV328" t="s">
        <v>911</v>
      </c>
      <c r="AW328" t="s">
        <v>2043</v>
      </c>
      <c r="AX328" t="s">
        <v>744</v>
      </c>
      <c r="AY328" t="s">
        <v>54</v>
      </c>
      <c r="AZ328" s="576">
        <v>55435</v>
      </c>
      <c r="BA328"/>
      <c r="BB328" t="s">
        <v>2645</v>
      </c>
      <c r="BC328" t="s">
        <v>2646</v>
      </c>
      <c r="BD328" t="s">
        <v>2647</v>
      </c>
      <c r="BE328" t="s">
        <v>2639</v>
      </c>
      <c r="BF328">
        <v>9528571501</v>
      </c>
      <c r="BG328"/>
      <c r="BH328">
        <v>9528571554</v>
      </c>
      <c r="BI328" t="s">
        <v>2648</v>
      </c>
      <c r="BJ328" t="s">
        <v>2641</v>
      </c>
      <c r="BK328" t="s">
        <v>911</v>
      </c>
      <c r="BL328" t="s">
        <v>2043</v>
      </c>
      <c r="BM328" t="s">
        <v>744</v>
      </c>
      <c r="BN328" t="s">
        <v>54</v>
      </c>
      <c r="BO328" s="576">
        <v>55435</v>
      </c>
      <c r="BP328"/>
      <c r="BQ328" t="s">
        <v>2634</v>
      </c>
      <c r="BR328" t="s">
        <v>2635</v>
      </c>
      <c r="BS328" t="s">
        <v>1836</v>
      </c>
      <c r="BT328" t="s">
        <v>2639</v>
      </c>
      <c r="BU328">
        <v>9528571529</v>
      </c>
      <c r="BV328"/>
      <c r="BW328">
        <v>9528571554</v>
      </c>
      <c r="BX328" t="s">
        <v>2636</v>
      </c>
      <c r="BY328" t="s">
        <v>2641</v>
      </c>
      <c r="BZ328" t="s">
        <v>911</v>
      </c>
      <c r="CA328" t="s">
        <v>2043</v>
      </c>
      <c r="CB328" t="s">
        <v>744</v>
      </c>
      <c r="CC328" t="s">
        <v>54</v>
      </c>
      <c r="CD328" s="576">
        <v>55435</v>
      </c>
      <c r="CE328"/>
      <c r="CF328" t="s">
        <v>2649</v>
      </c>
      <c r="CG328" t="s">
        <v>2650</v>
      </c>
      <c r="CH328" t="s">
        <v>141</v>
      </c>
      <c r="CI328"/>
      <c r="CJ328"/>
      <c r="CK328"/>
      <c r="CL328"/>
      <c r="CM328">
        <v>1407102882</v>
      </c>
      <c r="CN328">
        <v>85</v>
      </c>
      <c r="CO328">
        <v>3190</v>
      </c>
      <c r="CP328">
        <v>2929</v>
      </c>
      <c r="CQ328">
        <v>3191</v>
      </c>
      <c r="CR328">
        <v>3193</v>
      </c>
      <c r="CS328" t="s">
        <v>788</v>
      </c>
      <c r="CT328">
        <v>12</v>
      </c>
      <c r="CU328"/>
      <c r="CV328"/>
      <c r="CW328"/>
      <c r="CX328"/>
      <c r="CY328"/>
      <c r="CZ328"/>
      <c r="DA328"/>
      <c r="DB328"/>
      <c r="DC328"/>
      <c r="DD328"/>
      <c r="DE328"/>
      <c r="DF328"/>
      <c r="DG328"/>
      <c r="DH328">
        <v>129</v>
      </c>
      <c r="DI328" t="s">
        <v>2651</v>
      </c>
      <c r="DJ328"/>
      <c r="DK328"/>
      <c r="DL328"/>
      <c r="DM328"/>
      <c r="DN328"/>
      <c r="DO328"/>
      <c r="DP328"/>
      <c r="DQ328"/>
      <c r="DR328"/>
      <c r="DS328"/>
      <c r="DT328"/>
      <c r="DU328"/>
      <c r="DV328"/>
      <c r="DW328"/>
      <c r="DX328"/>
      <c r="DY328"/>
      <c r="DZ328"/>
      <c r="EA328"/>
      <c r="EB328"/>
      <c r="EC328"/>
      <c r="ED328"/>
      <c r="EE328"/>
      <c r="EF328"/>
      <c r="EG328"/>
      <c r="EH328"/>
      <c r="EI328"/>
      <c r="EJ328"/>
      <c r="EK328"/>
      <c r="EL328"/>
      <c r="EM328"/>
      <c r="EN328"/>
      <c r="EO328"/>
      <c r="EP328"/>
      <c r="EQ328"/>
      <c r="ER328">
        <v>116</v>
      </c>
      <c r="ES328"/>
      <c r="ET328"/>
      <c r="EU328"/>
      <c r="EV328" s="439">
        <v>360</v>
      </c>
      <c r="EW328" t="s">
        <v>3011</v>
      </c>
      <c r="EX328" t="s">
        <v>829</v>
      </c>
      <c r="EY328" t="s">
        <v>1713</v>
      </c>
      <c r="EZ328" t="s">
        <v>54</v>
      </c>
      <c r="FA328">
        <v>55369</v>
      </c>
      <c r="FB328">
        <v>1316133044</v>
      </c>
    </row>
    <row r="329" spans="1:158" x14ac:dyDescent="0.2">
      <c r="A329" s="439">
        <v>1020</v>
      </c>
      <c r="B329" t="s">
        <v>2652</v>
      </c>
      <c r="C329" t="s">
        <v>909</v>
      </c>
      <c r="D329" t="s">
        <v>2653</v>
      </c>
      <c r="E329"/>
      <c r="F329" t="s">
        <v>912</v>
      </c>
      <c r="G329" t="s">
        <v>54</v>
      </c>
      <c r="H329" s="576">
        <v>55110</v>
      </c>
      <c r="I329"/>
      <c r="J329" t="s">
        <v>2653</v>
      </c>
      <c r="K329"/>
      <c r="L329" t="s">
        <v>2654</v>
      </c>
      <c r="M329" t="s">
        <v>912</v>
      </c>
      <c r="N329" t="s">
        <v>54</v>
      </c>
      <c r="O329" s="576">
        <v>55110</v>
      </c>
      <c r="P329"/>
      <c r="Q329">
        <v>6517896500</v>
      </c>
      <c r="R329">
        <v>6517896501</v>
      </c>
      <c r="S329" t="s">
        <v>2634</v>
      </c>
      <c r="T329" t="s">
        <v>2635</v>
      </c>
      <c r="U329" t="s">
        <v>1836</v>
      </c>
      <c r="V329" t="s">
        <v>2636</v>
      </c>
      <c r="W329"/>
      <c r="X329" t="s">
        <v>2637</v>
      </c>
      <c r="Y329" t="s">
        <v>2638</v>
      </c>
      <c r="Z329" t="s">
        <v>1975</v>
      </c>
      <c r="AA329" t="s">
        <v>2639</v>
      </c>
      <c r="AB329">
        <v>9527674405</v>
      </c>
      <c r="AC329"/>
      <c r="AD329">
        <v>9528571554</v>
      </c>
      <c r="AE329" t="s">
        <v>2640</v>
      </c>
      <c r="AF329" t="s">
        <v>2641</v>
      </c>
      <c r="AG329" t="s">
        <v>911</v>
      </c>
      <c r="AH329" t="s">
        <v>2043</v>
      </c>
      <c r="AI329" t="s">
        <v>744</v>
      </c>
      <c r="AJ329" t="s">
        <v>54</v>
      </c>
      <c r="AK329" s="576">
        <v>55435</v>
      </c>
      <c r="AL329"/>
      <c r="AM329" t="s">
        <v>1199</v>
      </c>
      <c r="AN329" t="s">
        <v>2642</v>
      </c>
      <c r="AO329" t="s">
        <v>2643</v>
      </c>
      <c r="AP329" t="s">
        <v>2639</v>
      </c>
      <c r="AQ329">
        <v>9528570641</v>
      </c>
      <c r="AR329"/>
      <c r="AS329">
        <v>9528571554</v>
      </c>
      <c r="AT329" t="s">
        <v>2644</v>
      </c>
      <c r="AU329" t="s">
        <v>2641</v>
      </c>
      <c r="AV329" t="s">
        <v>911</v>
      </c>
      <c r="AW329" t="s">
        <v>2043</v>
      </c>
      <c r="AX329" t="s">
        <v>744</v>
      </c>
      <c r="AY329" t="s">
        <v>54</v>
      </c>
      <c r="AZ329" s="576">
        <v>55435</v>
      </c>
      <c r="BA329"/>
      <c r="BB329" t="s">
        <v>2645</v>
      </c>
      <c r="BC329" t="s">
        <v>2646</v>
      </c>
      <c r="BD329" t="s">
        <v>2647</v>
      </c>
      <c r="BE329" t="s">
        <v>2639</v>
      </c>
      <c r="BF329">
        <v>9528571501</v>
      </c>
      <c r="BG329"/>
      <c r="BH329">
        <v>9528571554</v>
      </c>
      <c r="BI329" t="s">
        <v>2648</v>
      </c>
      <c r="BJ329" t="s">
        <v>2641</v>
      </c>
      <c r="BK329" t="s">
        <v>911</v>
      </c>
      <c r="BL329" t="s">
        <v>2043</v>
      </c>
      <c r="BM329" t="s">
        <v>744</v>
      </c>
      <c r="BN329" t="s">
        <v>54</v>
      </c>
      <c r="BO329" s="576">
        <v>55435</v>
      </c>
      <c r="BP329"/>
      <c r="BQ329" t="s">
        <v>2634</v>
      </c>
      <c r="BR329" t="s">
        <v>2635</v>
      </c>
      <c r="BS329" t="s">
        <v>1836</v>
      </c>
      <c r="BT329" t="s">
        <v>2639</v>
      </c>
      <c r="BU329">
        <v>9528571529</v>
      </c>
      <c r="BV329"/>
      <c r="BW329">
        <v>9528571554</v>
      </c>
      <c r="BX329" t="s">
        <v>2636</v>
      </c>
      <c r="BY329" t="s">
        <v>2641</v>
      </c>
      <c r="BZ329" t="s">
        <v>911</v>
      </c>
      <c r="CA329" t="s">
        <v>2043</v>
      </c>
      <c r="CB329" t="s">
        <v>744</v>
      </c>
      <c r="CC329" t="s">
        <v>54</v>
      </c>
      <c r="CD329" s="576">
        <v>55435</v>
      </c>
      <c r="CE329"/>
      <c r="CF329" t="s">
        <v>2649</v>
      </c>
      <c r="CG329" t="s">
        <v>2650</v>
      </c>
      <c r="CH329" t="s">
        <v>141</v>
      </c>
      <c r="CI329"/>
      <c r="CJ329"/>
      <c r="CK329"/>
      <c r="CL329"/>
      <c r="CM329">
        <v>1134468465</v>
      </c>
      <c r="CN329">
        <v>1501</v>
      </c>
      <c r="CO329">
        <v>3190</v>
      </c>
      <c r="CP329">
        <v>2929</v>
      </c>
      <c r="CQ329">
        <v>3191</v>
      </c>
      <c r="CR329">
        <v>3193</v>
      </c>
      <c r="CS329" t="s">
        <v>788</v>
      </c>
      <c r="CT329">
        <v>12</v>
      </c>
      <c r="CU329"/>
      <c r="CV329"/>
      <c r="CW329"/>
      <c r="CX329"/>
      <c r="CY329"/>
      <c r="CZ329"/>
      <c r="DA329"/>
      <c r="DB329"/>
      <c r="DC329"/>
      <c r="DD329"/>
      <c r="DE329"/>
      <c r="DF329"/>
      <c r="DG329"/>
      <c r="DH329">
        <v>129</v>
      </c>
      <c r="DI329" t="s">
        <v>2655</v>
      </c>
      <c r="DJ329"/>
      <c r="DK329"/>
      <c r="DL329"/>
      <c r="DM329"/>
      <c r="DN329"/>
      <c r="DO329"/>
      <c r="DP329"/>
      <c r="DQ329"/>
      <c r="DR329"/>
      <c r="DS329"/>
      <c r="DT329"/>
      <c r="DU329"/>
      <c r="DV329"/>
      <c r="DW329"/>
      <c r="DX329"/>
      <c r="DY329"/>
      <c r="DZ329"/>
      <c r="EA329"/>
      <c r="EB329"/>
      <c r="EC329"/>
      <c r="ED329"/>
      <c r="EE329"/>
      <c r="EF329"/>
      <c r="EG329"/>
      <c r="EH329"/>
      <c r="EI329"/>
      <c r="EJ329"/>
      <c r="EK329"/>
      <c r="EL329"/>
      <c r="EM329"/>
      <c r="EN329"/>
      <c r="EO329"/>
      <c r="EP329"/>
      <c r="EQ329"/>
      <c r="ER329">
        <v>116</v>
      </c>
      <c r="ES329"/>
      <c r="ET329"/>
      <c r="EU329"/>
      <c r="EV329" s="439">
        <v>1219</v>
      </c>
      <c r="EW329" t="s">
        <v>2093</v>
      </c>
      <c r="EX329" t="s">
        <v>829</v>
      </c>
      <c r="EY329" t="s">
        <v>2094</v>
      </c>
      <c r="EZ329" t="s">
        <v>54</v>
      </c>
      <c r="FA329">
        <v>55369</v>
      </c>
      <c r="FB329">
        <v>1598976326</v>
      </c>
    </row>
    <row r="330" spans="1:158" x14ac:dyDescent="0.2">
      <c r="A330" s="439">
        <v>538</v>
      </c>
      <c r="B330" t="s">
        <v>2656</v>
      </c>
      <c r="C330" t="s">
        <v>835</v>
      </c>
      <c r="D330" t="s">
        <v>2657</v>
      </c>
      <c r="E330" t="s">
        <v>931</v>
      </c>
      <c r="F330" t="s">
        <v>838</v>
      </c>
      <c r="G330" t="s">
        <v>54</v>
      </c>
      <c r="H330" s="576">
        <v>55125</v>
      </c>
      <c r="I330"/>
      <c r="J330" t="s">
        <v>2657</v>
      </c>
      <c r="K330" t="s">
        <v>931</v>
      </c>
      <c r="L330" t="s">
        <v>835</v>
      </c>
      <c r="M330" t="s">
        <v>838</v>
      </c>
      <c r="N330" t="s">
        <v>54</v>
      </c>
      <c r="O330" s="576">
        <v>55125</v>
      </c>
      <c r="P330"/>
      <c r="Q330">
        <v>6517897000</v>
      </c>
      <c r="R330">
        <v>6517899626</v>
      </c>
      <c r="S330" t="s">
        <v>2634</v>
      </c>
      <c r="T330" t="s">
        <v>2635</v>
      </c>
      <c r="U330" t="s">
        <v>1836</v>
      </c>
      <c r="V330" t="s">
        <v>2636</v>
      </c>
      <c r="W330"/>
      <c r="X330" t="s">
        <v>2637</v>
      </c>
      <c r="Y330" t="s">
        <v>2638</v>
      </c>
      <c r="Z330" t="s">
        <v>1975</v>
      </c>
      <c r="AA330" t="s">
        <v>2639</v>
      </c>
      <c r="AB330">
        <v>9527674405</v>
      </c>
      <c r="AC330"/>
      <c r="AD330">
        <v>9528571554</v>
      </c>
      <c r="AE330" t="s">
        <v>2640</v>
      </c>
      <c r="AF330" t="s">
        <v>2641</v>
      </c>
      <c r="AG330" t="s">
        <v>911</v>
      </c>
      <c r="AH330" t="s">
        <v>2043</v>
      </c>
      <c r="AI330" t="s">
        <v>744</v>
      </c>
      <c r="AJ330" t="s">
        <v>54</v>
      </c>
      <c r="AK330" s="576">
        <v>55435</v>
      </c>
      <c r="AL330"/>
      <c r="AM330" t="s">
        <v>2645</v>
      </c>
      <c r="AN330" t="s">
        <v>2646</v>
      </c>
      <c r="AO330" t="s">
        <v>2647</v>
      </c>
      <c r="AP330" t="s">
        <v>2639</v>
      </c>
      <c r="AQ330">
        <v>9528571501</v>
      </c>
      <c r="AR330"/>
      <c r="AS330">
        <v>9528571554</v>
      </c>
      <c r="AT330" t="s">
        <v>2648</v>
      </c>
      <c r="AU330" t="s">
        <v>2641</v>
      </c>
      <c r="AV330" t="s">
        <v>911</v>
      </c>
      <c r="AW330" t="s">
        <v>2043</v>
      </c>
      <c r="AX330" t="s">
        <v>744</v>
      </c>
      <c r="AY330" t="s">
        <v>54</v>
      </c>
      <c r="AZ330" s="576">
        <v>55435</v>
      </c>
      <c r="BA330"/>
      <c r="BB330" t="s">
        <v>1199</v>
      </c>
      <c r="BC330" t="s">
        <v>2642</v>
      </c>
      <c r="BD330" t="s">
        <v>2643</v>
      </c>
      <c r="BE330" t="s">
        <v>2639</v>
      </c>
      <c r="BF330">
        <v>9528570641</v>
      </c>
      <c r="BG330"/>
      <c r="BH330">
        <v>9528571554</v>
      </c>
      <c r="BI330" t="s">
        <v>2644</v>
      </c>
      <c r="BJ330" t="s">
        <v>2641</v>
      </c>
      <c r="BK330" t="s">
        <v>911</v>
      </c>
      <c r="BL330" t="s">
        <v>2043</v>
      </c>
      <c r="BM330" t="s">
        <v>744</v>
      </c>
      <c r="BN330" t="s">
        <v>54</v>
      </c>
      <c r="BO330" s="576">
        <v>55435</v>
      </c>
      <c r="BP330"/>
      <c r="BQ330" t="s">
        <v>2634</v>
      </c>
      <c r="BR330" t="s">
        <v>2635</v>
      </c>
      <c r="BS330" t="s">
        <v>1836</v>
      </c>
      <c r="BT330" t="s">
        <v>2639</v>
      </c>
      <c r="BU330">
        <v>9528571529</v>
      </c>
      <c r="BV330"/>
      <c r="BW330">
        <v>9528571554</v>
      </c>
      <c r="BX330" t="s">
        <v>2636</v>
      </c>
      <c r="BY330" t="s">
        <v>2641</v>
      </c>
      <c r="BZ330" t="s">
        <v>911</v>
      </c>
      <c r="CA330" t="s">
        <v>2043</v>
      </c>
      <c r="CB330" t="s">
        <v>744</v>
      </c>
      <c r="CC330" t="s">
        <v>54</v>
      </c>
      <c r="CD330" s="576">
        <v>55435</v>
      </c>
      <c r="CE330"/>
      <c r="CF330" t="s">
        <v>2649</v>
      </c>
      <c r="CG330" t="s">
        <v>2650</v>
      </c>
      <c r="CH330" t="s">
        <v>141</v>
      </c>
      <c r="CI330"/>
      <c r="CJ330"/>
      <c r="CK330"/>
      <c r="CL330"/>
      <c r="CM330">
        <v>1972734721</v>
      </c>
      <c r="CN330">
        <v>2925</v>
      </c>
      <c r="CO330">
        <v>3190</v>
      </c>
      <c r="CP330">
        <v>3191</v>
      </c>
      <c r="CQ330">
        <v>3192</v>
      </c>
      <c r="CR330">
        <v>3193</v>
      </c>
      <c r="CS330" t="s">
        <v>788</v>
      </c>
      <c r="CT330">
        <v>12</v>
      </c>
      <c r="CU330"/>
      <c r="CV330"/>
      <c r="CW330"/>
      <c r="CX330"/>
      <c r="CY330"/>
      <c r="CZ330"/>
      <c r="DA330"/>
      <c r="DB330"/>
      <c r="DC330"/>
      <c r="DD330"/>
      <c r="DE330"/>
      <c r="DF330"/>
      <c r="DG330"/>
      <c r="DH330">
        <v>129</v>
      </c>
      <c r="DI330" t="s">
        <v>2658</v>
      </c>
      <c r="DJ330"/>
      <c r="DK330"/>
      <c r="DL330"/>
      <c r="DM330"/>
      <c r="DN330"/>
      <c r="DO330"/>
      <c r="DP330"/>
      <c r="DQ330"/>
      <c r="DR330"/>
      <c r="DS330"/>
      <c r="DT330"/>
      <c r="DU330"/>
      <c r="DV330"/>
      <c r="DW330"/>
      <c r="DX330"/>
      <c r="DY330"/>
      <c r="DZ330"/>
      <c r="EA330"/>
      <c r="EB330"/>
      <c r="EC330"/>
      <c r="ED330"/>
      <c r="EE330"/>
      <c r="EF330"/>
      <c r="EG330"/>
      <c r="EH330"/>
      <c r="EI330"/>
      <c r="EJ330"/>
      <c r="EK330"/>
      <c r="EL330"/>
      <c r="EM330"/>
      <c r="EN330"/>
      <c r="EO330"/>
      <c r="EP330"/>
      <c r="EQ330"/>
      <c r="ER330">
        <v>116</v>
      </c>
      <c r="ES330"/>
      <c r="ET330"/>
      <c r="EU330"/>
      <c r="EV330" s="439">
        <v>550</v>
      </c>
      <c r="EW330" t="s">
        <v>2201</v>
      </c>
      <c r="EX330" t="s">
        <v>829</v>
      </c>
      <c r="EY330" t="s">
        <v>2202</v>
      </c>
      <c r="EZ330" t="s">
        <v>54</v>
      </c>
      <c r="FA330">
        <v>55369</v>
      </c>
      <c r="FB330">
        <v>1780621904</v>
      </c>
    </row>
    <row r="331" spans="1:158" x14ac:dyDescent="0.2">
      <c r="A331" s="439">
        <v>1016</v>
      </c>
      <c r="B331" t="s">
        <v>2659</v>
      </c>
      <c r="C331" t="s">
        <v>1029</v>
      </c>
      <c r="D331" t="s">
        <v>2660</v>
      </c>
      <c r="E331" t="s">
        <v>2661</v>
      </c>
      <c r="F331" t="s">
        <v>912</v>
      </c>
      <c r="G331" t="s">
        <v>54</v>
      </c>
      <c r="H331" s="576">
        <v>55104</v>
      </c>
      <c r="I331"/>
      <c r="J331" t="s">
        <v>2660</v>
      </c>
      <c r="K331" t="s">
        <v>2661</v>
      </c>
      <c r="L331" t="s">
        <v>1029</v>
      </c>
      <c r="M331" t="s">
        <v>912</v>
      </c>
      <c r="N331" t="s">
        <v>54</v>
      </c>
      <c r="O331" s="576">
        <v>55104</v>
      </c>
      <c r="P331"/>
      <c r="Q331">
        <v>6516470000</v>
      </c>
      <c r="R331">
        <v>6518471111</v>
      </c>
      <c r="S331" t="s">
        <v>2662</v>
      </c>
      <c r="T331" t="s">
        <v>2663</v>
      </c>
      <c r="U331" t="s">
        <v>2136</v>
      </c>
      <c r="V331" t="s">
        <v>2664</v>
      </c>
      <c r="W331" t="s">
        <v>2665</v>
      </c>
      <c r="X331" t="s">
        <v>790</v>
      </c>
      <c r="Y331" t="s">
        <v>2666</v>
      </c>
      <c r="Z331" t="s">
        <v>2667</v>
      </c>
      <c r="AA331" t="s">
        <v>2659</v>
      </c>
      <c r="AB331">
        <v>6516470000</v>
      </c>
      <c r="AC331"/>
      <c r="AD331">
        <v>6518471111</v>
      </c>
      <c r="AE331" t="s">
        <v>2664</v>
      </c>
      <c r="AF331" t="s">
        <v>2660</v>
      </c>
      <c r="AG331" t="s">
        <v>2661</v>
      </c>
      <c r="AH331" t="s">
        <v>1029</v>
      </c>
      <c r="AI331" t="s">
        <v>912</v>
      </c>
      <c r="AJ331" t="s">
        <v>54</v>
      </c>
      <c r="AK331" s="576">
        <v>55104</v>
      </c>
      <c r="AL331"/>
      <c r="AM331"/>
      <c r="AN331"/>
      <c r="AO331"/>
      <c r="AP331"/>
      <c r="AQ331"/>
      <c r="AR331"/>
      <c r="AS331"/>
      <c r="AT331"/>
      <c r="AU331"/>
      <c r="AV331"/>
      <c r="AW331"/>
      <c r="AX331"/>
      <c r="AY331"/>
      <c r="AZ331"/>
      <c r="BA331"/>
      <c r="BB331"/>
      <c r="BC331"/>
      <c r="BD331"/>
      <c r="BE331"/>
      <c r="BF331"/>
      <c r="BG331"/>
      <c r="BH331"/>
      <c r="BI331"/>
      <c r="BJ331"/>
      <c r="BK331"/>
      <c r="BL331"/>
      <c r="BM331"/>
      <c r="BN331"/>
      <c r="BO331"/>
      <c r="BP331"/>
      <c r="BQ331"/>
      <c r="BR331"/>
      <c r="BS331"/>
      <c r="BT331"/>
      <c r="BU331"/>
      <c r="BV331"/>
      <c r="BW331"/>
      <c r="BX331"/>
      <c r="BY331"/>
      <c r="BZ331"/>
      <c r="CA331"/>
      <c r="CB331"/>
      <c r="CC331"/>
      <c r="CD331"/>
      <c r="CE331"/>
      <c r="CF331"/>
      <c r="CG331" t="s">
        <v>733</v>
      </c>
      <c r="CH331"/>
      <c r="CI331"/>
      <c r="CJ331"/>
      <c r="CK331"/>
      <c r="CL331"/>
      <c r="CM331">
        <v>1043643059</v>
      </c>
      <c r="CN331">
        <v>275</v>
      </c>
      <c r="CO331">
        <v>219</v>
      </c>
      <c r="CP331"/>
      <c r="CQ331"/>
      <c r="CR331"/>
      <c r="CS331" t="s">
        <v>788</v>
      </c>
      <c r="CT331">
        <v>12</v>
      </c>
      <c r="CU331"/>
      <c r="CV331"/>
      <c r="CW331"/>
      <c r="CX331"/>
      <c r="CY331"/>
      <c r="CZ331"/>
      <c r="DA331"/>
      <c r="DB331"/>
      <c r="DC331"/>
      <c r="DD331">
        <v>128</v>
      </c>
      <c r="DE331" t="s">
        <v>2668</v>
      </c>
      <c r="DF331"/>
      <c r="DG331"/>
      <c r="DH331"/>
      <c r="DI331"/>
      <c r="DJ331"/>
      <c r="DK331"/>
      <c r="DL331"/>
      <c r="DM331"/>
      <c r="DN331"/>
      <c r="DO331"/>
      <c r="DP331"/>
      <c r="DQ331"/>
      <c r="DR331"/>
      <c r="DS331"/>
      <c r="DT331"/>
      <c r="DU331"/>
      <c r="DV331"/>
      <c r="DW331"/>
      <c r="DX331"/>
      <c r="DY331"/>
      <c r="DZ331"/>
      <c r="EA331"/>
      <c r="EB331"/>
      <c r="EC331"/>
      <c r="ED331"/>
      <c r="EE331"/>
      <c r="EF331"/>
      <c r="EG331"/>
      <c r="EH331"/>
      <c r="EI331"/>
      <c r="EJ331"/>
      <c r="EK331"/>
      <c r="EL331"/>
      <c r="EM331"/>
      <c r="EN331"/>
      <c r="EO331"/>
      <c r="EP331"/>
      <c r="EQ331"/>
      <c r="ER331">
        <v>0</v>
      </c>
      <c r="ES331"/>
      <c r="ET331"/>
      <c r="EU331"/>
      <c r="EV331" s="439">
        <v>629</v>
      </c>
      <c r="EW331" t="s">
        <v>2264</v>
      </c>
      <c r="EX331" t="s">
        <v>829</v>
      </c>
      <c r="EY331" t="s">
        <v>2265</v>
      </c>
      <c r="EZ331" t="s">
        <v>54</v>
      </c>
      <c r="FA331">
        <v>55369</v>
      </c>
      <c r="FB331">
        <v>1659348092</v>
      </c>
    </row>
    <row r="332" spans="1:158" x14ac:dyDescent="0.2">
      <c r="A332" s="439">
        <v>1454</v>
      </c>
      <c r="B332" t="s">
        <v>2669</v>
      </c>
      <c r="C332" t="s">
        <v>1390</v>
      </c>
      <c r="D332" t="s">
        <v>1391</v>
      </c>
      <c r="E332"/>
      <c r="F332" t="s">
        <v>1392</v>
      </c>
      <c r="G332" t="s">
        <v>54</v>
      </c>
      <c r="H332" s="576">
        <v>55063</v>
      </c>
      <c r="I332" s="576">
        <v>6026</v>
      </c>
      <c r="J332" t="s">
        <v>1391</v>
      </c>
      <c r="K332"/>
      <c r="L332" t="s">
        <v>1390</v>
      </c>
      <c r="M332" t="s">
        <v>1392</v>
      </c>
      <c r="N332" t="s">
        <v>54</v>
      </c>
      <c r="O332" s="576">
        <v>55063</v>
      </c>
      <c r="P332" s="576">
        <v>6026</v>
      </c>
      <c r="Q332">
        <v>3206297505</v>
      </c>
      <c r="R332">
        <v>3206292202</v>
      </c>
      <c r="S332" t="s">
        <v>2670</v>
      </c>
      <c r="T332" t="s">
        <v>2671</v>
      </c>
      <c r="U332" t="s">
        <v>740</v>
      </c>
      <c r="V332" t="s">
        <v>2672</v>
      </c>
      <c r="W332" t="s">
        <v>2673</v>
      </c>
      <c r="X332" t="s">
        <v>2670</v>
      </c>
      <c r="Y332" t="s">
        <v>2671</v>
      </c>
      <c r="Z332" t="s">
        <v>740</v>
      </c>
      <c r="AA332" t="s">
        <v>2669</v>
      </c>
      <c r="AB332">
        <v>3206297505</v>
      </c>
      <c r="AC332"/>
      <c r="AD332">
        <v>3202253320</v>
      </c>
      <c r="AE332" t="s">
        <v>2672</v>
      </c>
      <c r="AF332" t="s">
        <v>1391</v>
      </c>
      <c r="AG332"/>
      <c r="AH332" t="s">
        <v>1390</v>
      </c>
      <c r="AI332" t="s">
        <v>1392</v>
      </c>
      <c r="AJ332" t="s">
        <v>54</v>
      </c>
      <c r="AK332" s="576">
        <v>55063</v>
      </c>
      <c r="AL332" s="576">
        <v>6026</v>
      </c>
      <c r="AM332" t="s">
        <v>2674</v>
      </c>
      <c r="AN332" t="s">
        <v>2675</v>
      </c>
      <c r="AO332" t="s">
        <v>2676</v>
      </c>
      <c r="AP332" t="s">
        <v>2677</v>
      </c>
      <c r="AQ332">
        <v>3202253446</v>
      </c>
      <c r="AR332">
        <v>3446</v>
      </c>
      <c r="AS332">
        <v>3202253458</v>
      </c>
      <c r="AT332" t="s">
        <v>2678</v>
      </c>
      <c r="AU332" t="s">
        <v>2679</v>
      </c>
      <c r="AV332"/>
      <c r="AW332" t="s">
        <v>1386</v>
      </c>
      <c r="AX332" t="s">
        <v>1388</v>
      </c>
      <c r="AY332" t="s">
        <v>54</v>
      </c>
      <c r="AZ332" s="576">
        <v>55051</v>
      </c>
      <c r="BA332" t="s">
        <v>749</v>
      </c>
      <c r="BB332"/>
      <c r="BC332"/>
      <c r="BD332"/>
      <c r="BE332"/>
      <c r="BF332"/>
      <c r="BG332"/>
      <c r="BH332"/>
      <c r="BI332"/>
      <c r="BJ332"/>
      <c r="BK332"/>
      <c r="BL332"/>
      <c r="BM332"/>
      <c r="BN332"/>
      <c r="BO332"/>
      <c r="BP332"/>
      <c r="BQ332" t="s">
        <v>2680</v>
      </c>
      <c r="BR332" t="s">
        <v>2681</v>
      </c>
      <c r="BS332" t="s">
        <v>1456</v>
      </c>
      <c r="BT332" t="s">
        <v>2677</v>
      </c>
      <c r="BU332">
        <v>3202253325</v>
      </c>
      <c r="BV332"/>
      <c r="BW332">
        <v>3202253320</v>
      </c>
      <c r="BX332" t="s">
        <v>2682</v>
      </c>
      <c r="BY332" t="s">
        <v>2679</v>
      </c>
      <c r="BZ332"/>
      <c r="CA332" t="s">
        <v>1386</v>
      </c>
      <c r="CB332" t="s">
        <v>1388</v>
      </c>
      <c r="CC332" t="s">
        <v>54</v>
      </c>
      <c r="CD332" s="576">
        <v>55051</v>
      </c>
      <c r="CE332" t="s">
        <v>749</v>
      </c>
      <c r="CF332" t="s">
        <v>2683</v>
      </c>
      <c r="CG332" t="s">
        <v>2677</v>
      </c>
      <c r="CH332" t="s">
        <v>141</v>
      </c>
      <c r="CI332"/>
      <c r="CJ332"/>
      <c r="CK332"/>
      <c r="CL332"/>
      <c r="CM332">
        <v>1992012207</v>
      </c>
      <c r="CN332">
        <v>15</v>
      </c>
      <c r="CO332">
        <v>20</v>
      </c>
      <c r="CP332">
        <v>201</v>
      </c>
      <c r="CQ332"/>
      <c r="CR332">
        <v>203</v>
      </c>
      <c r="CS332" t="s">
        <v>788</v>
      </c>
      <c r="CT332">
        <v>12</v>
      </c>
      <c r="CU332"/>
      <c r="CV332"/>
      <c r="CW332"/>
      <c r="CX332"/>
      <c r="CY332"/>
      <c r="CZ332"/>
      <c r="DA332"/>
      <c r="DB332"/>
      <c r="DC332"/>
      <c r="DD332"/>
      <c r="DE332"/>
      <c r="DF332"/>
      <c r="DG332"/>
      <c r="DH332"/>
      <c r="DI332"/>
      <c r="DJ332"/>
      <c r="DK332"/>
      <c r="DL332"/>
      <c r="DM332"/>
      <c r="DN332"/>
      <c r="DO332"/>
      <c r="DP332"/>
      <c r="DQ332"/>
      <c r="DR332"/>
      <c r="DS332"/>
      <c r="DT332"/>
      <c r="DU332"/>
      <c r="DV332"/>
      <c r="DW332"/>
      <c r="DX332"/>
      <c r="DY332"/>
      <c r="DZ332"/>
      <c r="EA332"/>
      <c r="EB332">
        <v>137</v>
      </c>
      <c r="EC332" t="s">
        <v>2684</v>
      </c>
      <c r="ED332"/>
      <c r="EE332"/>
      <c r="EF332"/>
      <c r="EG332"/>
      <c r="EH332"/>
      <c r="EI332"/>
      <c r="EJ332"/>
      <c r="EK332"/>
      <c r="EL332"/>
      <c r="EM332"/>
      <c r="EN332"/>
      <c r="EO332"/>
      <c r="EP332"/>
      <c r="EQ332"/>
      <c r="ER332">
        <v>221</v>
      </c>
      <c r="ES332"/>
      <c r="ET332"/>
      <c r="EU332"/>
      <c r="EV332" s="439">
        <v>551</v>
      </c>
      <c r="EW332" t="s">
        <v>2507</v>
      </c>
      <c r="EX332" t="s">
        <v>829</v>
      </c>
      <c r="EY332" t="s">
        <v>2508</v>
      </c>
      <c r="EZ332" t="s">
        <v>54</v>
      </c>
      <c r="FA332">
        <v>55369</v>
      </c>
      <c r="FB332">
        <v>1427008937</v>
      </c>
    </row>
    <row r="333" spans="1:158" x14ac:dyDescent="0.2">
      <c r="A333" s="439">
        <v>1471</v>
      </c>
      <c r="B333" t="s">
        <v>2685</v>
      </c>
      <c r="C333" t="s">
        <v>1020</v>
      </c>
      <c r="D333" t="s">
        <v>2686</v>
      </c>
      <c r="E333" t="s">
        <v>2687</v>
      </c>
      <c r="F333" t="s">
        <v>1023</v>
      </c>
      <c r="G333" t="s">
        <v>54</v>
      </c>
      <c r="H333" s="576">
        <v>55803</v>
      </c>
      <c r="I333" s="576">
        <v>1310</v>
      </c>
      <c r="J333" t="s">
        <v>2686</v>
      </c>
      <c r="K333" t="s">
        <v>2687</v>
      </c>
      <c r="L333" t="s">
        <v>1020</v>
      </c>
      <c r="M333" t="s">
        <v>1023</v>
      </c>
      <c r="N333" t="s">
        <v>54</v>
      </c>
      <c r="O333" s="576">
        <v>55803</v>
      </c>
      <c r="P333" s="576">
        <v>1310</v>
      </c>
      <c r="Q333">
        <v>2183905113</v>
      </c>
      <c r="R333"/>
      <c r="S333" t="s">
        <v>2688</v>
      </c>
      <c r="T333" t="s">
        <v>2689</v>
      </c>
      <c r="U333" t="s">
        <v>2690</v>
      </c>
      <c r="V333" t="s">
        <v>2691</v>
      </c>
      <c r="W333" t="s">
        <v>749</v>
      </c>
      <c r="X333" t="s">
        <v>2688</v>
      </c>
      <c r="Y333" t="s">
        <v>2689</v>
      </c>
      <c r="Z333" t="s">
        <v>2692</v>
      </c>
      <c r="AA333" t="s">
        <v>2685</v>
      </c>
      <c r="AB333">
        <v>2183905113</v>
      </c>
      <c r="AC333"/>
      <c r="AD333"/>
      <c r="AE333" t="s">
        <v>2691</v>
      </c>
      <c r="AF333" t="s">
        <v>2686</v>
      </c>
      <c r="AG333" t="s">
        <v>2687</v>
      </c>
      <c r="AH333" t="s">
        <v>1020</v>
      </c>
      <c r="AI333" t="s">
        <v>1023</v>
      </c>
      <c r="AJ333" t="s">
        <v>54</v>
      </c>
      <c r="AK333" s="576">
        <v>55803</v>
      </c>
      <c r="AL333" s="576">
        <v>1310</v>
      </c>
      <c r="AM333"/>
      <c r="AN333"/>
      <c r="AO333"/>
      <c r="AP333"/>
      <c r="AQ333"/>
      <c r="AR333"/>
      <c r="AS333"/>
      <c r="AT333"/>
      <c r="AU333"/>
      <c r="AV333"/>
      <c r="AW333"/>
      <c r="AX333"/>
      <c r="AY333"/>
      <c r="AZ333"/>
      <c r="BA333"/>
      <c r="BB333"/>
      <c r="BC333"/>
      <c r="BD333"/>
      <c r="BE333"/>
      <c r="BF333"/>
      <c r="BG333"/>
      <c r="BH333"/>
      <c r="BI333"/>
      <c r="BJ333"/>
      <c r="BK333"/>
      <c r="BL333"/>
      <c r="BM333"/>
      <c r="BN333"/>
      <c r="BO333"/>
      <c r="BP333"/>
      <c r="BQ333"/>
      <c r="BR333"/>
      <c r="BS333"/>
      <c r="BT333"/>
      <c r="BU333"/>
      <c r="BV333"/>
      <c r="BW333"/>
      <c r="BX333"/>
      <c r="BY333"/>
      <c r="BZ333"/>
      <c r="CA333"/>
      <c r="CB333"/>
      <c r="CC333"/>
      <c r="CD333"/>
      <c r="CE333"/>
      <c r="CF333" t="s">
        <v>2693</v>
      </c>
      <c r="CG333" t="s">
        <v>733</v>
      </c>
      <c r="CH333" t="s">
        <v>141</v>
      </c>
      <c r="CI333"/>
      <c r="CJ333"/>
      <c r="CK333"/>
      <c r="CL333"/>
      <c r="CM333"/>
      <c r="CN333">
        <v>1740</v>
      </c>
      <c r="CO333">
        <v>1719</v>
      </c>
      <c r="CP333"/>
      <c r="CQ333"/>
      <c r="CR333"/>
      <c r="CS333" t="s">
        <v>788</v>
      </c>
      <c r="CT333">
        <v>12</v>
      </c>
      <c r="CU333"/>
      <c r="CV333"/>
      <c r="CW333"/>
      <c r="CX333" t="s">
        <v>749</v>
      </c>
      <c r="CY333"/>
      <c r="CZ333" t="s">
        <v>749</v>
      </c>
      <c r="DA333" t="s">
        <v>749</v>
      </c>
      <c r="DB333" t="s">
        <v>749</v>
      </c>
      <c r="DC333" t="s">
        <v>749</v>
      </c>
      <c r="DD333"/>
      <c r="DE333"/>
      <c r="DF333"/>
      <c r="DG333"/>
      <c r="DH333"/>
      <c r="DI333"/>
      <c r="DJ333"/>
      <c r="DK333"/>
      <c r="DL333"/>
      <c r="DM333"/>
      <c r="DN333"/>
      <c r="DO333"/>
      <c r="DP333"/>
      <c r="DQ333"/>
      <c r="DR333"/>
      <c r="DS333"/>
      <c r="DT333"/>
      <c r="DU333"/>
      <c r="DV333"/>
      <c r="DW333"/>
      <c r="DX333"/>
      <c r="DY333"/>
      <c r="DZ333"/>
      <c r="EA333"/>
      <c r="EB333"/>
      <c r="EC333"/>
      <c r="ED333"/>
      <c r="EE333"/>
      <c r="EF333"/>
      <c r="EG333"/>
      <c r="EH333"/>
      <c r="EI333"/>
      <c r="EJ333"/>
      <c r="EK333"/>
      <c r="EL333"/>
      <c r="EM333"/>
      <c r="EN333"/>
      <c r="EO333"/>
      <c r="EP333"/>
      <c r="EQ333"/>
      <c r="ER333">
        <v>0</v>
      </c>
      <c r="ES333"/>
      <c r="ET333"/>
      <c r="EU333"/>
      <c r="EV333" s="439">
        <v>1276</v>
      </c>
      <c r="EW333" t="s">
        <v>2619</v>
      </c>
      <c r="EX333" t="s">
        <v>829</v>
      </c>
      <c r="EY333" t="s">
        <v>2265</v>
      </c>
      <c r="EZ333" t="s">
        <v>54</v>
      </c>
      <c r="FA333">
        <v>55369</v>
      </c>
      <c r="FB333">
        <v>1164474250</v>
      </c>
    </row>
    <row r="334" spans="1:158" x14ac:dyDescent="0.2">
      <c r="A334" s="439">
        <v>1493</v>
      </c>
      <c r="B334" t="s">
        <v>2694</v>
      </c>
      <c r="C334"/>
      <c r="D334"/>
      <c r="E334"/>
      <c r="F334"/>
      <c r="G334"/>
      <c r="H334"/>
      <c r="I334"/>
      <c r="J334"/>
      <c r="K334"/>
      <c r="L334"/>
      <c r="M334"/>
      <c r="N334"/>
      <c r="O334"/>
      <c r="P334"/>
      <c r="Q334"/>
      <c r="R334"/>
      <c r="S334"/>
      <c r="T334"/>
      <c r="U334"/>
      <c r="V334"/>
      <c r="W334"/>
      <c r="X334"/>
      <c r="Y334"/>
      <c r="Z334"/>
      <c r="AA334"/>
      <c r="AB334"/>
      <c r="AC334"/>
      <c r="AD334"/>
      <c r="AE334"/>
      <c r="AF334"/>
      <c r="AG334"/>
      <c r="AH334"/>
      <c r="AI334"/>
      <c r="AJ334"/>
      <c r="AK334"/>
      <c r="AL334"/>
      <c r="AM334"/>
      <c r="AN334"/>
      <c r="AO334"/>
      <c r="AP334"/>
      <c r="AQ334"/>
      <c r="AR334"/>
      <c r="AS334"/>
      <c r="AT334"/>
      <c r="AU334"/>
      <c r="AV334"/>
      <c r="AW334"/>
      <c r="AX334"/>
      <c r="AY334"/>
      <c r="AZ334"/>
      <c r="BA334"/>
      <c r="BB334"/>
      <c r="BC334"/>
      <c r="BD334"/>
      <c r="BE334"/>
      <c r="BF334"/>
      <c r="BG334"/>
      <c r="BH334"/>
      <c r="BI334"/>
      <c r="BJ334"/>
      <c r="BK334"/>
      <c r="BL334"/>
      <c r="BM334"/>
      <c r="BN334"/>
      <c r="BO334"/>
      <c r="BP334"/>
      <c r="BQ334"/>
      <c r="BR334"/>
      <c r="BS334"/>
      <c r="BT334"/>
      <c r="BU334"/>
      <c r="BV334"/>
      <c r="BW334"/>
      <c r="BX334"/>
      <c r="BY334"/>
      <c r="BZ334"/>
      <c r="CA334"/>
      <c r="CB334"/>
      <c r="CC334"/>
      <c r="CD334"/>
      <c r="CE334"/>
      <c r="CF334"/>
      <c r="CG334"/>
      <c r="CH334"/>
      <c r="CI334"/>
      <c r="CJ334"/>
      <c r="CK334"/>
      <c r="CL334"/>
      <c r="CM334"/>
      <c r="CN334"/>
      <c r="CO334"/>
      <c r="CP334"/>
      <c r="CQ334"/>
      <c r="CR334"/>
      <c r="CS334" t="s">
        <v>788</v>
      </c>
      <c r="CT334">
        <v>12</v>
      </c>
      <c r="CU334"/>
      <c r="CV334"/>
      <c r="CW334"/>
      <c r="CX334"/>
      <c r="CY334"/>
      <c r="CZ334"/>
      <c r="DA334"/>
      <c r="DB334"/>
      <c r="DC334"/>
      <c r="DD334"/>
      <c r="DE334"/>
      <c r="DF334"/>
      <c r="DG334"/>
      <c r="DH334"/>
      <c r="DI334"/>
      <c r="DJ334"/>
      <c r="DK334"/>
      <c r="DL334"/>
      <c r="DM334"/>
      <c r="DN334"/>
      <c r="DO334"/>
      <c r="DP334"/>
      <c r="DQ334"/>
      <c r="DR334"/>
      <c r="DS334"/>
      <c r="DT334"/>
      <c r="DU334"/>
      <c r="DV334"/>
      <c r="DW334"/>
      <c r="DX334"/>
      <c r="DY334"/>
      <c r="DZ334"/>
      <c r="EA334"/>
      <c r="EB334"/>
      <c r="EC334"/>
      <c r="ED334"/>
      <c r="EE334"/>
      <c r="EF334"/>
      <c r="EG334"/>
      <c r="EH334"/>
      <c r="EI334"/>
      <c r="EJ334"/>
      <c r="EK334"/>
      <c r="EL334"/>
      <c r="EM334"/>
      <c r="EN334"/>
      <c r="EO334"/>
      <c r="EP334"/>
      <c r="EQ334"/>
      <c r="ER334"/>
      <c r="ES334"/>
      <c r="ET334"/>
      <c r="EU334"/>
      <c r="EV334" s="439">
        <v>722</v>
      </c>
      <c r="EW334" t="s">
        <v>1035</v>
      </c>
      <c r="EX334" t="s">
        <v>1036</v>
      </c>
      <c r="EY334" t="s">
        <v>1037</v>
      </c>
      <c r="EZ334" t="s">
        <v>54</v>
      </c>
      <c r="FA334">
        <v>55109</v>
      </c>
      <c r="FB334">
        <v>1710158357</v>
      </c>
    </row>
    <row r="335" spans="1:158" x14ac:dyDescent="0.2">
      <c r="A335" s="439">
        <v>1483</v>
      </c>
      <c r="B335" t="s">
        <v>2695</v>
      </c>
      <c r="C335"/>
      <c r="D335"/>
      <c r="E335"/>
      <c r="F335"/>
      <c r="G335"/>
      <c r="H335"/>
      <c r="I335"/>
      <c r="J335"/>
      <c r="K335"/>
      <c r="L335"/>
      <c r="M335"/>
      <c r="N335"/>
      <c r="O335"/>
      <c r="P335"/>
      <c r="Q335"/>
      <c r="R335"/>
      <c r="S335"/>
      <c r="T335"/>
      <c r="U335"/>
      <c r="V335"/>
      <c r="W335"/>
      <c r="X335"/>
      <c r="Y335"/>
      <c r="Z335"/>
      <c r="AA335"/>
      <c r="AB335"/>
      <c r="AC335"/>
      <c r="AD335"/>
      <c r="AE335"/>
      <c r="AF335"/>
      <c r="AG335"/>
      <c r="AH335"/>
      <c r="AI335"/>
      <c r="AJ335"/>
      <c r="AK335"/>
      <c r="AL335"/>
      <c r="AM335"/>
      <c r="AN335"/>
      <c r="AO335"/>
      <c r="AP335"/>
      <c r="AQ335"/>
      <c r="AR335"/>
      <c r="AS335"/>
      <c r="AT335"/>
      <c r="AU335"/>
      <c r="AV335"/>
      <c r="AW335"/>
      <c r="AX335"/>
      <c r="AY335"/>
      <c r="AZ335"/>
      <c r="BA335"/>
      <c r="BB335"/>
      <c r="BC335"/>
      <c r="BD335"/>
      <c r="BE335"/>
      <c r="BF335"/>
      <c r="BG335"/>
      <c r="BH335"/>
      <c r="BI335"/>
      <c r="BJ335"/>
      <c r="BK335"/>
      <c r="BL335"/>
      <c r="BM335"/>
      <c r="BN335"/>
      <c r="BO335"/>
      <c r="BP335"/>
      <c r="BQ335"/>
      <c r="BR335"/>
      <c r="BS335"/>
      <c r="BT335"/>
      <c r="BU335"/>
      <c r="BV335"/>
      <c r="BW335"/>
      <c r="BX335"/>
      <c r="BY335"/>
      <c r="BZ335"/>
      <c r="CA335"/>
      <c r="CB335"/>
      <c r="CC335"/>
      <c r="CD335"/>
      <c r="CE335"/>
      <c r="CF335"/>
      <c r="CG335"/>
      <c r="CH335"/>
      <c r="CI335"/>
      <c r="CJ335"/>
      <c r="CK335"/>
      <c r="CL335"/>
      <c r="CM335"/>
      <c r="CN335"/>
      <c r="CO335"/>
      <c r="CP335"/>
      <c r="CQ335"/>
      <c r="CR335"/>
      <c r="CS335" t="s">
        <v>788</v>
      </c>
      <c r="CT335">
        <v>12</v>
      </c>
      <c r="CU335"/>
      <c r="CV335"/>
      <c r="CW335"/>
      <c r="CX335"/>
      <c r="CY335"/>
      <c r="CZ335"/>
      <c r="DA335"/>
      <c r="DB335"/>
      <c r="DC335"/>
      <c r="DD335"/>
      <c r="DE335"/>
      <c r="DF335"/>
      <c r="DG335"/>
      <c r="DH335"/>
      <c r="DI335"/>
      <c r="DJ335"/>
      <c r="DK335"/>
      <c r="DL335"/>
      <c r="DM335"/>
      <c r="DN335"/>
      <c r="DO335"/>
      <c r="DP335"/>
      <c r="DQ335"/>
      <c r="DR335"/>
      <c r="DS335"/>
      <c r="DT335"/>
      <c r="DU335"/>
      <c r="DV335"/>
      <c r="DW335"/>
      <c r="DX335"/>
      <c r="DY335"/>
      <c r="DZ335"/>
      <c r="EA335"/>
      <c r="EB335"/>
      <c r="EC335"/>
      <c r="ED335"/>
      <c r="EE335"/>
      <c r="EF335"/>
      <c r="EG335"/>
      <c r="EH335"/>
      <c r="EI335"/>
      <c r="EJ335"/>
      <c r="EK335"/>
      <c r="EL335"/>
      <c r="EM335"/>
      <c r="EN335"/>
      <c r="EO335"/>
      <c r="EP335"/>
      <c r="EQ335"/>
      <c r="ER335"/>
      <c r="ES335"/>
      <c r="ET335"/>
      <c r="EU335"/>
      <c r="EV335" s="439">
        <v>552</v>
      </c>
      <c r="EW335" t="s">
        <v>1123</v>
      </c>
      <c r="EX335" t="s">
        <v>1036</v>
      </c>
      <c r="EY335" t="s">
        <v>1124</v>
      </c>
      <c r="EZ335" t="s">
        <v>54</v>
      </c>
      <c r="FA335">
        <v>55109</v>
      </c>
      <c r="FB335">
        <v>1659348092</v>
      </c>
    </row>
    <row r="336" spans="1:158" x14ac:dyDescent="0.2">
      <c r="A336" s="439">
        <v>1490</v>
      </c>
      <c r="B336" t="s">
        <v>2696</v>
      </c>
      <c r="C336"/>
      <c r="D336"/>
      <c r="E336"/>
      <c r="F336"/>
      <c r="G336"/>
      <c r="H336"/>
      <c r="I336"/>
      <c r="J336"/>
      <c r="K336"/>
      <c r="L336"/>
      <c r="M336"/>
      <c r="N336"/>
      <c r="O336"/>
      <c r="P336"/>
      <c r="Q336"/>
      <c r="R336"/>
      <c r="S336"/>
      <c r="T336"/>
      <c r="U336"/>
      <c r="V336"/>
      <c r="W336"/>
      <c r="X336"/>
      <c r="Y336"/>
      <c r="Z336"/>
      <c r="AA336"/>
      <c r="AB336"/>
      <c r="AC336"/>
      <c r="AD336"/>
      <c r="AE336"/>
      <c r="AF336"/>
      <c r="AG336"/>
      <c r="AH336"/>
      <c r="AI336"/>
      <c r="AJ336"/>
      <c r="AK336"/>
      <c r="AL336"/>
      <c r="AM336"/>
      <c r="AN336"/>
      <c r="AO336"/>
      <c r="AP336"/>
      <c r="AQ336"/>
      <c r="AR336"/>
      <c r="AS336"/>
      <c r="AT336"/>
      <c r="AU336"/>
      <c r="AV336"/>
      <c r="AW336"/>
      <c r="AX336"/>
      <c r="AY336"/>
      <c r="AZ336"/>
      <c r="BA336"/>
      <c r="BB336"/>
      <c r="BC336"/>
      <c r="BD336"/>
      <c r="BE336"/>
      <c r="BF336"/>
      <c r="BG336"/>
      <c r="BH336"/>
      <c r="BI336"/>
      <c r="BJ336"/>
      <c r="BK336"/>
      <c r="BL336"/>
      <c r="BM336"/>
      <c r="BN336"/>
      <c r="BO336"/>
      <c r="BP336"/>
      <c r="BQ336"/>
      <c r="BR336"/>
      <c r="BS336"/>
      <c r="BT336"/>
      <c r="BU336"/>
      <c r="BV336"/>
      <c r="BW336"/>
      <c r="BX336"/>
      <c r="BY336"/>
      <c r="BZ336"/>
      <c r="CA336"/>
      <c r="CB336"/>
      <c r="CC336"/>
      <c r="CD336"/>
      <c r="CE336"/>
      <c r="CF336"/>
      <c r="CG336"/>
      <c r="CH336"/>
      <c r="CI336"/>
      <c r="CJ336"/>
      <c r="CK336"/>
      <c r="CL336"/>
      <c r="CM336"/>
      <c r="CN336"/>
      <c r="CO336"/>
      <c r="CP336"/>
      <c r="CQ336"/>
      <c r="CR336"/>
      <c r="CS336" t="s">
        <v>788</v>
      </c>
      <c r="CT336">
        <v>12</v>
      </c>
      <c r="CU336"/>
      <c r="CV336"/>
      <c r="CW336"/>
      <c r="CX336"/>
      <c r="CY336"/>
      <c r="CZ336"/>
      <c r="DA336"/>
      <c r="DB336"/>
      <c r="DC336"/>
      <c r="DD336"/>
      <c r="DE336"/>
      <c r="DF336"/>
      <c r="DG336"/>
      <c r="DH336"/>
      <c r="DI336"/>
      <c r="DJ336"/>
      <c r="DK336"/>
      <c r="DL336"/>
      <c r="DM336"/>
      <c r="DN336"/>
      <c r="DO336"/>
      <c r="DP336"/>
      <c r="DQ336"/>
      <c r="DR336"/>
      <c r="DS336"/>
      <c r="DT336"/>
      <c r="DU336"/>
      <c r="DV336"/>
      <c r="DW336"/>
      <c r="DX336"/>
      <c r="DY336"/>
      <c r="DZ336"/>
      <c r="EA336"/>
      <c r="EB336"/>
      <c r="EC336"/>
      <c r="ED336"/>
      <c r="EE336"/>
      <c r="EF336"/>
      <c r="EG336"/>
      <c r="EH336"/>
      <c r="EI336"/>
      <c r="EJ336"/>
      <c r="EK336"/>
      <c r="EL336"/>
      <c r="EM336"/>
      <c r="EN336"/>
      <c r="EO336"/>
      <c r="EP336"/>
      <c r="EQ336"/>
      <c r="ER336"/>
      <c r="ES336"/>
      <c r="ET336"/>
      <c r="EU336"/>
      <c r="EV336" s="439">
        <v>301</v>
      </c>
      <c r="EW336" t="s">
        <v>3012</v>
      </c>
      <c r="EX336" t="s">
        <v>1036</v>
      </c>
      <c r="EY336" t="s">
        <v>3013</v>
      </c>
      <c r="EZ336" t="s">
        <v>54</v>
      </c>
      <c r="FA336">
        <v>55109</v>
      </c>
      <c r="FB336">
        <v>1992763932</v>
      </c>
    </row>
    <row r="337" spans="1:158" x14ac:dyDescent="0.2">
      <c r="A337" s="439">
        <v>1480</v>
      </c>
      <c r="B337" t="s">
        <v>2697</v>
      </c>
      <c r="C337"/>
      <c r="D337"/>
      <c r="E337"/>
      <c r="F337"/>
      <c r="G337"/>
      <c r="H337"/>
      <c r="I337"/>
      <c r="J337"/>
      <c r="K337"/>
      <c r="L337"/>
      <c r="M337"/>
      <c r="N337"/>
      <c r="O337"/>
      <c r="P337"/>
      <c r="Q337"/>
      <c r="R337"/>
      <c r="S337"/>
      <c r="T337"/>
      <c r="U337"/>
      <c r="V337"/>
      <c r="W337"/>
      <c r="X337"/>
      <c r="Y337"/>
      <c r="Z337"/>
      <c r="AA337"/>
      <c r="AB337"/>
      <c r="AC337"/>
      <c r="AD337"/>
      <c r="AE337"/>
      <c r="AF337"/>
      <c r="AG337"/>
      <c r="AH337"/>
      <c r="AI337"/>
      <c r="AJ337"/>
      <c r="AK337"/>
      <c r="AL337"/>
      <c r="AM337"/>
      <c r="AN337"/>
      <c r="AO337"/>
      <c r="AP337"/>
      <c r="AQ337"/>
      <c r="AR337"/>
      <c r="AS337"/>
      <c r="AT337"/>
      <c r="AU337"/>
      <c r="AV337"/>
      <c r="AW337"/>
      <c r="AX337"/>
      <c r="AY337"/>
      <c r="AZ337"/>
      <c r="BA337"/>
      <c r="BB337"/>
      <c r="BC337"/>
      <c r="BD337"/>
      <c r="BE337"/>
      <c r="BF337"/>
      <c r="BG337"/>
      <c r="BH337"/>
      <c r="BI337"/>
      <c r="BJ337"/>
      <c r="BK337"/>
      <c r="BL337"/>
      <c r="BM337"/>
      <c r="BN337"/>
      <c r="BO337"/>
      <c r="BP337"/>
      <c r="BQ337"/>
      <c r="BR337"/>
      <c r="BS337"/>
      <c r="BT337"/>
      <c r="BU337"/>
      <c r="BV337"/>
      <c r="BW337"/>
      <c r="BX337"/>
      <c r="BY337"/>
      <c r="BZ337"/>
      <c r="CA337"/>
      <c r="CB337"/>
      <c r="CC337"/>
      <c r="CD337"/>
      <c r="CE337"/>
      <c r="CF337"/>
      <c r="CG337"/>
      <c r="CH337"/>
      <c r="CI337"/>
      <c r="CJ337"/>
      <c r="CK337"/>
      <c r="CL337"/>
      <c r="CM337"/>
      <c r="CN337"/>
      <c r="CO337"/>
      <c r="CP337"/>
      <c r="CQ337"/>
      <c r="CR337"/>
      <c r="CS337" t="s">
        <v>788</v>
      </c>
      <c r="CT337">
        <v>12</v>
      </c>
      <c r="CU337"/>
      <c r="CV337"/>
      <c r="CW337"/>
      <c r="CX337"/>
      <c r="CY337"/>
      <c r="CZ337"/>
      <c r="DA337"/>
      <c r="DB337"/>
      <c r="DC337"/>
      <c r="DD337"/>
      <c r="DE337"/>
      <c r="DF337"/>
      <c r="DG337"/>
      <c r="DH337"/>
      <c r="DI337"/>
      <c r="DJ337"/>
      <c r="DK337"/>
      <c r="DL337"/>
      <c r="DM337"/>
      <c r="DN337"/>
      <c r="DO337"/>
      <c r="DP337"/>
      <c r="DQ337"/>
      <c r="DR337"/>
      <c r="DS337"/>
      <c r="DT337"/>
      <c r="DU337"/>
      <c r="DV337"/>
      <c r="DW337"/>
      <c r="DX337"/>
      <c r="DY337"/>
      <c r="DZ337"/>
      <c r="EA337"/>
      <c r="EB337"/>
      <c r="EC337"/>
      <c r="ED337"/>
      <c r="EE337"/>
      <c r="EF337"/>
      <c r="EG337"/>
      <c r="EH337"/>
      <c r="EI337"/>
      <c r="EJ337"/>
      <c r="EK337"/>
      <c r="EL337"/>
      <c r="EM337"/>
      <c r="EN337"/>
      <c r="EO337"/>
      <c r="EP337"/>
      <c r="EQ337"/>
      <c r="ER337"/>
      <c r="ES337"/>
      <c r="ET337"/>
      <c r="EU337"/>
      <c r="EV337" s="439">
        <v>180</v>
      </c>
      <c r="EW337" t="s">
        <v>3014</v>
      </c>
      <c r="EX337" t="s">
        <v>1036</v>
      </c>
      <c r="EY337" t="s">
        <v>3015</v>
      </c>
      <c r="EZ337" t="s">
        <v>54</v>
      </c>
      <c r="FA337">
        <v>55109</v>
      </c>
      <c r="FB337">
        <v>1447218482</v>
      </c>
    </row>
    <row r="338" spans="1:158" x14ac:dyDescent="0.2">
      <c r="A338" s="439">
        <v>1491</v>
      </c>
      <c r="B338" t="s">
        <v>2698</v>
      </c>
      <c r="C338"/>
      <c r="D338"/>
      <c r="E338"/>
      <c r="F338"/>
      <c r="G338"/>
      <c r="H338"/>
      <c r="I338"/>
      <c r="J338"/>
      <c r="K338"/>
      <c r="L338"/>
      <c r="M338"/>
      <c r="N338"/>
      <c r="O338"/>
      <c r="P338"/>
      <c r="Q338"/>
      <c r="R338"/>
      <c r="S338"/>
      <c r="T338"/>
      <c r="U338"/>
      <c r="V338"/>
      <c r="W338"/>
      <c r="X338"/>
      <c r="Y338"/>
      <c r="Z338"/>
      <c r="AA338"/>
      <c r="AB338"/>
      <c r="AC338"/>
      <c r="AD338"/>
      <c r="AE338"/>
      <c r="AF338"/>
      <c r="AG338"/>
      <c r="AH338"/>
      <c r="AI338"/>
      <c r="AJ338"/>
      <c r="AK338"/>
      <c r="AL338"/>
      <c r="AM338"/>
      <c r="AN338"/>
      <c r="AO338"/>
      <c r="AP338"/>
      <c r="AQ338"/>
      <c r="AR338"/>
      <c r="AS338"/>
      <c r="AT338"/>
      <c r="AU338"/>
      <c r="AV338"/>
      <c r="AW338"/>
      <c r="AX338"/>
      <c r="AY338"/>
      <c r="AZ338"/>
      <c r="BA338"/>
      <c r="BB338"/>
      <c r="BC338"/>
      <c r="BD338"/>
      <c r="BE338"/>
      <c r="BF338"/>
      <c r="BG338"/>
      <c r="BH338"/>
      <c r="BI338"/>
      <c r="BJ338"/>
      <c r="BK338"/>
      <c r="BL338"/>
      <c r="BM338"/>
      <c r="BN338"/>
      <c r="BO338"/>
      <c r="BP338"/>
      <c r="BQ338"/>
      <c r="BR338"/>
      <c r="BS338"/>
      <c r="BT338"/>
      <c r="BU338"/>
      <c r="BV338"/>
      <c r="BW338"/>
      <c r="BX338"/>
      <c r="BY338"/>
      <c r="BZ338"/>
      <c r="CA338"/>
      <c r="CB338"/>
      <c r="CC338"/>
      <c r="CD338"/>
      <c r="CE338"/>
      <c r="CF338"/>
      <c r="CG338"/>
      <c r="CH338"/>
      <c r="CI338"/>
      <c r="CJ338"/>
      <c r="CK338"/>
      <c r="CL338"/>
      <c r="CM338"/>
      <c r="CN338"/>
      <c r="CO338"/>
      <c r="CP338"/>
      <c r="CQ338"/>
      <c r="CR338"/>
      <c r="CS338" t="s">
        <v>788</v>
      </c>
      <c r="CT338">
        <v>12</v>
      </c>
      <c r="CU338"/>
      <c r="CV338"/>
      <c r="CW338"/>
      <c r="CX338"/>
      <c r="CY338"/>
      <c r="CZ338"/>
      <c r="DA338"/>
      <c r="DB338"/>
      <c r="DC338"/>
      <c r="DD338"/>
      <c r="DE338"/>
      <c r="DF338"/>
      <c r="DG338"/>
      <c r="DH338"/>
      <c r="DI338"/>
      <c r="DJ338"/>
      <c r="DK338"/>
      <c r="DL338"/>
      <c r="DM338"/>
      <c r="DN338"/>
      <c r="DO338"/>
      <c r="DP338"/>
      <c r="DQ338"/>
      <c r="DR338"/>
      <c r="DS338"/>
      <c r="DT338"/>
      <c r="DU338"/>
      <c r="DV338"/>
      <c r="DW338"/>
      <c r="DX338"/>
      <c r="DY338"/>
      <c r="DZ338"/>
      <c r="EA338"/>
      <c r="EB338"/>
      <c r="EC338"/>
      <c r="ED338"/>
      <c r="EE338"/>
      <c r="EF338"/>
      <c r="EG338"/>
      <c r="EH338"/>
      <c r="EI338"/>
      <c r="EJ338"/>
      <c r="EK338"/>
      <c r="EL338"/>
      <c r="EM338"/>
      <c r="EN338"/>
      <c r="EO338"/>
      <c r="EP338"/>
      <c r="EQ338"/>
      <c r="ER338"/>
      <c r="ES338"/>
      <c r="ET338"/>
      <c r="EU338"/>
      <c r="EV338" s="439">
        <v>753</v>
      </c>
      <c r="EW338" t="s">
        <v>1986</v>
      </c>
      <c r="EX338" t="s">
        <v>1036</v>
      </c>
      <c r="EY338" t="s">
        <v>1987</v>
      </c>
      <c r="EZ338" t="s">
        <v>54</v>
      </c>
      <c r="FA338">
        <v>55109</v>
      </c>
      <c r="FB338">
        <v>1376686774</v>
      </c>
    </row>
    <row r="339" spans="1:158" x14ac:dyDescent="0.2">
      <c r="A339" s="439">
        <v>1481</v>
      </c>
      <c r="B339" t="s">
        <v>2699</v>
      </c>
      <c r="C339"/>
      <c r="D339"/>
      <c r="E339"/>
      <c r="F339"/>
      <c r="G339"/>
      <c r="H339"/>
      <c r="I339"/>
      <c r="J339"/>
      <c r="K339"/>
      <c r="L339"/>
      <c r="M339"/>
      <c r="N339"/>
      <c r="O339"/>
      <c r="P339"/>
      <c r="Q339"/>
      <c r="R339"/>
      <c r="S339"/>
      <c r="T339"/>
      <c r="U339"/>
      <c r="V339"/>
      <c r="W339"/>
      <c r="X339"/>
      <c r="Y339"/>
      <c r="Z339"/>
      <c r="AA339"/>
      <c r="AB339"/>
      <c r="AC339"/>
      <c r="AD339"/>
      <c r="AE339"/>
      <c r="AF339"/>
      <c r="AG339"/>
      <c r="AH339"/>
      <c r="AI339"/>
      <c r="AJ339"/>
      <c r="AK339"/>
      <c r="AL339"/>
      <c r="AM339"/>
      <c r="AN339"/>
      <c r="AO339"/>
      <c r="AP339"/>
      <c r="AQ339"/>
      <c r="AR339"/>
      <c r="AS339"/>
      <c r="AT339"/>
      <c r="AU339"/>
      <c r="AV339"/>
      <c r="AW339"/>
      <c r="AX339"/>
      <c r="AY339"/>
      <c r="AZ339"/>
      <c r="BA339"/>
      <c r="BB339"/>
      <c r="BC339"/>
      <c r="BD339"/>
      <c r="BE339"/>
      <c r="BF339"/>
      <c r="BG339"/>
      <c r="BH339"/>
      <c r="BI339"/>
      <c r="BJ339"/>
      <c r="BK339"/>
      <c r="BL339"/>
      <c r="BM339"/>
      <c r="BN339"/>
      <c r="BO339"/>
      <c r="BP339"/>
      <c r="BQ339"/>
      <c r="BR339"/>
      <c r="BS339"/>
      <c r="BT339"/>
      <c r="BU339"/>
      <c r="BV339"/>
      <c r="BW339"/>
      <c r="BX339"/>
      <c r="BY339"/>
      <c r="BZ339"/>
      <c r="CA339"/>
      <c r="CB339"/>
      <c r="CC339"/>
      <c r="CD339"/>
      <c r="CE339"/>
      <c r="CF339"/>
      <c r="CG339"/>
      <c r="CH339"/>
      <c r="CI339"/>
      <c r="CJ339"/>
      <c r="CK339"/>
      <c r="CL339"/>
      <c r="CM339"/>
      <c r="CN339"/>
      <c r="CO339"/>
      <c r="CP339"/>
      <c r="CQ339"/>
      <c r="CR339"/>
      <c r="CS339" t="s">
        <v>788</v>
      </c>
      <c r="CT339">
        <v>12</v>
      </c>
      <c r="CU339"/>
      <c r="CV339"/>
      <c r="CW339"/>
      <c r="CX339"/>
      <c r="CY339"/>
      <c r="CZ339"/>
      <c r="DA339"/>
      <c r="DB339"/>
      <c r="DC339"/>
      <c r="DD339"/>
      <c r="DE339"/>
      <c r="DF339"/>
      <c r="DG339"/>
      <c r="DH339"/>
      <c r="DI339"/>
      <c r="DJ339"/>
      <c r="DK339"/>
      <c r="DL339"/>
      <c r="DM339"/>
      <c r="DN339"/>
      <c r="DO339"/>
      <c r="DP339"/>
      <c r="DQ339"/>
      <c r="DR339"/>
      <c r="DS339"/>
      <c r="DT339"/>
      <c r="DU339"/>
      <c r="DV339"/>
      <c r="DW339"/>
      <c r="DX339"/>
      <c r="DY339"/>
      <c r="DZ339"/>
      <c r="EA339"/>
      <c r="EB339"/>
      <c r="EC339"/>
      <c r="ED339"/>
      <c r="EE339"/>
      <c r="EF339"/>
      <c r="EG339"/>
      <c r="EH339"/>
      <c r="EI339"/>
      <c r="EJ339"/>
      <c r="EK339"/>
      <c r="EL339"/>
      <c r="EM339"/>
      <c r="EN339"/>
      <c r="EO339"/>
      <c r="EP339"/>
      <c r="EQ339"/>
      <c r="ER339"/>
      <c r="ES339"/>
      <c r="ET339"/>
      <c r="EU339"/>
      <c r="EV339" s="439">
        <v>822</v>
      </c>
      <c r="EW339" t="s">
        <v>2212</v>
      </c>
      <c r="EX339" t="s">
        <v>1036</v>
      </c>
      <c r="EY339" t="s">
        <v>3016</v>
      </c>
      <c r="EZ339" t="s">
        <v>54</v>
      </c>
      <c r="FA339">
        <v>55109</v>
      </c>
      <c r="FB339"/>
    </row>
    <row r="340" spans="1:158" x14ac:dyDescent="0.2">
      <c r="A340" s="439">
        <v>1492</v>
      </c>
      <c r="B340" t="s">
        <v>2700</v>
      </c>
      <c r="C340"/>
      <c r="D340"/>
      <c r="E340"/>
      <c r="F340"/>
      <c r="G340"/>
      <c r="H340"/>
      <c r="I340"/>
      <c r="J340"/>
      <c r="K340"/>
      <c r="L340"/>
      <c r="M340"/>
      <c r="N340"/>
      <c r="O340"/>
      <c r="P340"/>
      <c r="Q340"/>
      <c r="R340"/>
      <c r="S340"/>
      <c r="T340"/>
      <c r="U340"/>
      <c r="V340"/>
      <c r="W340"/>
      <c r="X340"/>
      <c r="Y340"/>
      <c r="Z340"/>
      <c r="AA340"/>
      <c r="AB340"/>
      <c r="AC340"/>
      <c r="AD340"/>
      <c r="AE340"/>
      <c r="AF340"/>
      <c r="AG340"/>
      <c r="AH340"/>
      <c r="AI340"/>
      <c r="AJ340"/>
      <c r="AK340"/>
      <c r="AL340"/>
      <c r="AM340"/>
      <c r="AN340"/>
      <c r="AO340"/>
      <c r="AP340"/>
      <c r="AQ340"/>
      <c r="AR340"/>
      <c r="AS340"/>
      <c r="AT340"/>
      <c r="AU340"/>
      <c r="AV340"/>
      <c r="AW340"/>
      <c r="AX340"/>
      <c r="AY340"/>
      <c r="AZ340"/>
      <c r="BA340"/>
      <c r="BB340"/>
      <c r="BC340"/>
      <c r="BD340"/>
      <c r="BE340"/>
      <c r="BF340"/>
      <c r="BG340"/>
      <c r="BH340"/>
      <c r="BI340"/>
      <c r="BJ340"/>
      <c r="BK340"/>
      <c r="BL340"/>
      <c r="BM340"/>
      <c r="BN340"/>
      <c r="BO340"/>
      <c r="BP340"/>
      <c r="BQ340"/>
      <c r="BR340"/>
      <c r="BS340"/>
      <c r="BT340"/>
      <c r="BU340"/>
      <c r="BV340"/>
      <c r="BW340"/>
      <c r="BX340"/>
      <c r="BY340"/>
      <c r="BZ340"/>
      <c r="CA340"/>
      <c r="CB340"/>
      <c r="CC340"/>
      <c r="CD340"/>
      <c r="CE340"/>
      <c r="CF340"/>
      <c r="CG340"/>
      <c r="CH340"/>
      <c r="CI340"/>
      <c r="CJ340"/>
      <c r="CK340"/>
      <c r="CL340"/>
      <c r="CM340"/>
      <c r="CN340"/>
      <c r="CO340"/>
      <c r="CP340"/>
      <c r="CQ340"/>
      <c r="CR340"/>
      <c r="CS340" t="s">
        <v>788</v>
      </c>
      <c r="CT340">
        <v>12</v>
      </c>
      <c r="CU340"/>
      <c r="CV340"/>
      <c r="CW340"/>
      <c r="CX340"/>
      <c r="CY340"/>
      <c r="CZ340"/>
      <c r="DA340"/>
      <c r="DB340"/>
      <c r="DC340"/>
      <c r="DD340"/>
      <c r="DE340"/>
      <c r="DF340"/>
      <c r="DG340"/>
      <c r="DH340"/>
      <c r="DI340"/>
      <c r="DJ340"/>
      <c r="DK340"/>
      <c r="DL340"/>
      <c r="DM340"/>
      <c r="DN340"/>
      <c r="DO340"/>
      <c r="DP340"/>
      <c r="DQ340"/>
      <c r="DR340"/>
      <c r="DS340"/>
      <c r="DT340"/>
      <c r="DU340"/>
      <c r="DV340"/>
      <c r="DW340"/>
      <c r="DX340"/>
      <c r="DY340"/>
      <c r="DZ340"/>
      <c r="EA340"/>
      <c r="EB340"/>
      <c r="EC340"/>
      <c r="ED340"/>
      <c r="EE340"/>
      <c r="EF340"/>
      <c r="EG340"/>
      <c r="EH340"/>
      <c r="EI340"/>
      <c r="EJ340"/>
      <c r="EK340"/>
      <c r="EL340"/>
      <c r="EM340"/>
      <c r="EN340"/>
      <c r="EO340"/>
      <c r="EP340"/>
      <c r="EQ340"/>
      <c r="ER340"/>
      <c r="ES340"/>
      <c r="ET340"/>
      <c r="EU340"/>
      <c r="EV340" s="439">
        <v>897</v>
      </c>
      <c r="EW340" t="s">
        <v>3017</v>
      </c>
      <c r="EX340" t="s">
        <v>1036</v>
      </c>
      <c r="EY340" t="s">
        <v>3018</v>
      </c>
      <c r="EZ340" t="s">
        <v>54</v>
      </c>
      <c r="FA340">
        <v>55109</v>
      </c>
      <c r="FB340"/>
    </row>
    <row r="341" spans="1:158" x14ac:dyDescent="0.2">
      <c r="A341" s="439">
        <v>1482</v>
      </c>
      <c r="B341" t="s">
        <v>2701</v>
      </c>
      <c r="C341"/>
      <c r="D341"/>
      <c r="E341"/>
      <c r="F341"/>
      <c r="G341"/>
      <c r="H341"/>
      <c r="I341"/>
      <c r="J341"/>
      <c r="K341"/>
      <c r="L341"/>
      <c r="M341"/>
      <c r="N341"/>
      <c r="O341"/>
      <c r="P341"/>
      <c r="Q341"/>
      <c r="R341"/>
      <c r="S341"/>
      <c r="T341"/>
      <c r="U341"/>
      <c r="V341"/>
      <c r="W341"/>
      <c r="X341"/>
      <c r="Y341"/>
      <c r="Z341"/>
      <c r="AA341"/>
      <c r="AB341"/>
      <c r="AC341"/>
      <c r="AD341"/>
      <c r="AE341"/>
      <c r="AF341"/>
      <c r="AG341"/>
      <c r="AH341"/>
      <c r="AI341"/>
      <c r="AJ341"/>
      <c r="AK341"/>
      <c r="AL341"/>
      <c r="AM341"/>
      <c r="AN341"/>
      <c r="AO341"/>
      <c r="AP341"/>
      <c r="AQ341"/>
      <c r="AR341"/>
      <c r="AS341"/>
      <c r="AT341"/>
      <c r="AU341"/>
      <c r="AV341"/>
      <c r="AW341"/>
      <c r="AX341"/>
      <c r="AY341"/>
      <c r="AZ341"/>
      <c r="BA341"/>
      <c r="BB341"/>
      <c r="BC341"/>
      <c r="BD341"/>
      <c r="BE341"/>
      <c r="BF341"/>
      <c r="BG341"/>
      <c r="BH341"/>
      <c r="BI341"/>
      <c r="BJ341"/>
      <c r="BK341"/>
      <c r="BL341"/>
      <c r="BM341"/>
      <c r="BN341"/>
      <c r="BO341"/>
      <c r="BP341"/>
      <c r="BQ341"/>
      <c r="BR341"/>
      <c r="BS341"/>
      <c r="BT341"/>
      <c r="BU341"/>
      <c r="BV341"/>
      <c r="BW341"/>
      <c r="BX341"/>
      <c r="BY341"/>
      <c r="BZ341"/>
      <c r="CA341"/>
      <c r="CB341"/>
      <c r="CC341"/>
      <c r="CD341"/>
      <c r="CE341"/>
      <c r="CF341"/>
      <c r="CG341"/>
      <c r="CH341"/>
      <c r="CI341"/>
      <c r="CJ341"/>
      <c r="CK341"/>
      <c r="CL341"/>
      <c r="CM341"/>
      <c r="CN341"/>
      <c r="CO341"/>
      <c r="CP341"/>
      <c r="CQ341"/>
      <c r="CR341"/>
      <c r="CS341" t="s">
        <v>788</v>
      </c>
      <c r="CT341">
        <v>12</v>
      </c>
      <c r="CU341"/>
      <c r="CV341"/>
      <c r="CW341"/>
      <c r="CX341"/>
      <c r="CY341"/>
      <c r="CZ341"/>
      <c r="DA341"/>
      <c r="DB341"/>
      <c r="DC341"/>
      <c r="DD341"/>
      <c r="DE341"/>
      <c r="DF341"/>
      <c r="DG341"/>
      <c r="DH341"/>
      <c r="DI341"/>
      <c r="DJ341"/>
      <c r="DK341"/>
      <c r="DL341"/>
      <c r="DM341"/>
      <c r="DN341"/>
      <c r="DO341"/>
      <c r="DP341"/>
      <c r="DQ341"/>
      <c r="DR341"/>
      <c r="DS341"/>
      <c r="DT341"/>
      <c r="DU341"/>
      <c r="DV341"/>
      <c r="DW341"/>
      <c r="DX341"/>
      <c r="DY341"/>
      <c r="DZ341"/>
      <c r="EA341"/>
      <c r="EB341"/>
      <c r="EC341"/>
      <c r="ED341"/>
      <c r="EE341"/>
      <c r="EF341"/>
      <c r="EG341"/>
      <c r="EH341"/>
      <c r="EI341"/>
      <c r="EJ341"/>
      <c r="EK341"/>
      <c r="EL341"/>
      <c r="EM341"/>
      <c r="EN341"/>
      <c r="EO341"/>
      <c r="EP341"/>
      <c r="EQ341"/>
      <c r="ER341"/>
      <c r="ES341"/>
      <c r="ET341"/>
      <c r="EU341"/>
      <c r="EV341" s="439">
        <v>1152</v>
      </c>
      <c r="EW341" t="s">
        <v>2583</v>
      </c>
      <c r="EX341" t="s">
        <v>1036</v>
      </c>
      <c r="EY341" t="s">
        <v>2593</v>
      </c>
      <c r="EZ341" t="s">
        <v>54</v>
      </c>
      <c r="FA341">
        <v>55109</v>
      </c>
      <c r="FB341">
        <v>1285179945</v>
      </c>
    </row>
    <row r="342" spans="1:158" x14ac:dyDescent="0.2">
      <c r="A342" s="439">
        <v>1495</v>
      </c>
      <c r="B342" t="s">
        <v>2702</v>
      </c>
      <c r="C342"/>
      <c r="D342"/>
      <c r="E342"/>
      <c r="F342"/>
      <c r="G342"/>
      <c r="H342"/>
      <c r="I342"/>
      <c r="J342"/>
      <c r="K342"/>
      <c r="L342"/>
      <c r="M342"/>
      <c r="N342"/>
      <c r="O342"/>
      <c r="P342"/>
      <c r="Q342"/>
      <c r="R342"/>
      <c r="S342"/>
      <c r="T342"/>
      <c r="U342"/>
      <c r="V342"/>
      <c r="W342"/>
      <c r="X342"/>
      <c r="Y342"/>
      <c r="Z342"/>
      <c r="AA342"/>
      <c r="AB342"/>
      <c r="AC342"/>
      <c r="AD342"/>
      <c r="AE342"/>
      <c r="AF342"/>
      <c r="AG342"/>
      <c r="AH342"/>
      <c r="AI342"/>
      <c r="AJ342"/>
      <c r="AK342"/>
      <c r="AL342"/>
      <c r="AM342"/>
      <c r="AN342"/>
      <c r="AO342"/>
      <c r="AP342"/>
      <c r="AQ342"/>
      <c r="AR342"/>
      <c r="AS342"/>
      <c r="AT342"/>
      <c r="AU342"/>
      <c r="AV342"/>
      <c r="AW342"/>
      <c r="AX342"/>
      <c r="AY342"/>
      <c r="AZ342"/>
      <c r="BA342"/>
      <c r="BB342"/>
      <c r="BC342"/>
      <c r="BD342"/>
      <c r="BE342"/>
      <c r="BF342"/>
      <c r="BG342"/>
      <c r="BH342"/>
      <c r="BI342"/>
      <c r="BJ342"/>
      <c r="BK342"/>
      <c r="BL342"/>
      <c r="BM342"/>
      <c r="BN342"/>
      <c r="BO342"/>
      <c r="BP342"/>
      <c r="BQ342"/>
      <c r="BR342"/>
      <c r="BS342"/>
      <c r="BT342"/>
      <c r="BU342"/>
      <c r="BV342"/>
      <c r="BW342"/>
      <c r="BX342"/>
      <c r="BY342"/>
      <c r="BZ342"/>
      <c r="CA342"/>
      <c r="CB342"/>
      <c r="CC342"/>
      <c r="CD342"/>
      <c r="CE342"/>
      <c r="CF342"/>
      <c r="CG342"/>
      <c r="CH342"/>
      <c r="CI342"/>
      <c r="CJ342"/>
      <c r="CK342"/>
      <c r="CL342"/>
      <c r="CM342"/>
      <c r="CN342"/>
      <c r="CO342"/>
      <c r="CP342"/>
      <c r="CQ342"/>
      <c r="CR342"/>
      <c r="CS342" t="s">
        <v>788</v>
      </c>
      <c r="CT342">
        <v>12</v>
      </c>
      <c r="CU342"/>
      <c r="CV342"/>
      <c r="CW342"/>
      <c r="CX342"/>
      <c r="CY342"/>
      <c r="CZ342"/>
      <c r="DA342"/>
      <c r="DB342"/>
      <c r="DC342"/>
      <c r="DD342"/>
      <c r="DE342"/>
      <c r="DF342"/>
      <c r="DG342"/>
      <c r="DH342"/>
      <c r="DI342"/>
      <c r="DJ342"/>
      <c r="DK342"/>
      <c r="DL342"/>
      <c r="DM342"/>
      <c r="DN342"/>
      <c r="DO342"/>
      <c r="DP342"/>
      <c r="DQ342"/>
      <c r="DR342"/>
      <c r="DS342"/>
      <c r="DT342"/>
      <c r="DU342"/>
      <c r="DV342"/>
      <c r="DW342"/>
      <c r="DX342"/>
      <c r="DY342"/>
      <c r="DZ342"/>
      <c r="EA342"/>
      <c r="EB342"/>
      <c r="EC342"/>
      <c r="ED342"/>
      <c r="EE342"/>
      <c r="EF342"/>
      <c r="EG342"/>
      <c r="EH342"/>
      <c r="EI342"/>
      <c r="EJ342"/>
      <c r="EK342"/>
      <c r="EL342"/>
      <c r="EM342"/>
      <c r="EN342"/>
      <c r="EO342"/>
      <c r="EP342"/>
      <c r="EQ342"/>
      <c r="ER342"/>
      <c r="ES342"/>
      <c r="ET342"/>
      <c r="EU342"/>
      <c r="EV342" s="439">
        <v>172</v>
      </c>
      <c r="EW342" t="s">
        <v>3019</v>
      </c>
      <c r="EX342" t="s">
        <v>2416</v>
      </c>
      <c r="EY342" t="s">
        <v>3020</v>
      </c>
      <c r="EZ342" t="s">
        <v>54</v>
      </c>
      <c r="FA342">
        <v>56258</v>
      </c>
      <c r="FB342">
        <v>1568401016</v>
      </c>
    </row>
    <row r="343" spans="1:158" x14ac:dyDescent="0.2">
      <c r="A343" s="439">
        <v>1485</v>
      </c>
      <c r="B343" t="s">
        <v>2703</v>
      </c>
      <c r="C343"/>
      <c r="D343"/>
      <c r="E343"/>
      <c r="F343"/>
      <c r="G343"/>
      <c r="H343"/>
      <c r="I343"/>
      <c r="J343"/>
      <c r="K343"/>
      <c r="L343"/>
      <c r="M343"/>
      <c r="N343"/>
      <c r="O343"/>
      <c r="P343"/>
      <c r="Q343"/>
      <c r="R343"/>
      <c r="S343"/>
      <c r="T343"/>
      <c r="U343"/>
      <c r="V343"/>
      <c r="W343"/>
      <c r="X343"/>
      <c r="Y343"/>
      <c r="Z343"/>
      <c r="AA343"/>
      <c r="AB343"/>
      <c r="AC343"/>
      <c r="AD343"/>
      <c r="AE343"/>
      <c r="AF343"/>
      <c r="AG343"/>
      <c r="AH343"/>
      <c r="AI343"/>
      <c r="AJ343"/>
      <c r="AK343"/>
      <c r="AL343"/>
      <c r="AM343"/>
      <c r="AN343"/>
      <c r="AO343"/>
      <c r="AP343"/>
      <c r="AQ343"/>
      <c r="AR343"/>
      <c r="AS343"/>
      <c r="AT343"/>
      <c r="AU343"/>
      <c r="AV343"/>
      <c r="AW343"/>
      <c r="AX343"/>
      <c r="AY343"/>
      <c r="AZ343"/>
      <c r="BA343"/>
      <c r="BB343"/>
      <c r="BC343"/>
      <c r="BD343"/>
      <c r="BE343"/>
      <c r="BF343"/>
      <c r="BG343"/>
      <c r="BH343"/>
      <c r="BI343"/>
      <c r="BJ343"/>
      <c r="BK343"/>
      <c r="BL343"/>
      <c r="BM343"/>
      <c r="BN343"/>
      <c r="BO343"/>
      <c r="BP343"/>
      <c r="BQ343"/>
      <c r="BR343"/>
      <c r="BS343"/>
      <c r="BT343"/>
      <c r="BU343"/>
      <c r="BV343"/>
      <c r="BW343"/>
      <c r="BX343"/>
      <c r="BY343"/>
      <c r="BZ343"/>
      <c r="CA343"/>
      <c r="CB343"/>
      <c r="CC343"/>
      <c r="CD343"/>
      <c r="CE343"/>
      <c r="CF343"/>
      <c r="CG343"/>
      <c r="CH343"/>
      <c r="CI343"/>
      <c r="CJ343"/>
      <c r="CK343"/>
      <c r="CL343"/>
      <c r="CM343"/>
      <c r="CN343"/>
      <c r="CO343"/>
      <c r="CP343"/>
      <c r="CQ343"/>
      <c r="CR343"/>
      <c r="CS343" t="s">
        <v>788</v>
      </c>
      <c r="CT343">
        <v>12</v>
      </c>
      <c r="CU343"/>
      <c r="CV343"/>
      <c r="CW343"/>
      <c r="CX343"/>
      <c r="CY343"/>
      <c r="CZ343"/>
      <c r="DA343"/>
      <c r="DB343"/>
      <c r="DC343"/>
      <c r="DD343"/>
      <c r="DE343"/>
      <c r="DF343"/>
      <c r="DG343"/>
      <c r="DH343"/>
      <c r="DI343"/>
      <c r="DJ343"/>
      <c r="DK343"/>
      <c r="DL343"/>
      <c r="DM343"/>
      <c r="DN343"/>
      <c r="DO343"/>
      <c r="DP343"/>
      <c r="DQ343"/>
      <c r="DR343"/>
      <c r="DS343"/>
      <c r="DT343"/>
      <c r="DU343"/>
      <c r="DV343"/>
      <c r="DW343"/>
      <c r="DX343"/>
      <c r="DY343"/>
      <c r="DZ343"/>
      <c r="EA343"/>
      <c r="EB343"/>
      <c r="EC343"/>
      <c r="ED343"/>
      <c r="EE343"/>
      <c r="EF343"/>
      <c r="EG343"/>
      <c r="EH343"/>
      <c r="EI343"/>
      <c r="EJ343"/>
      <c r="EK343"/>
      <c r="EL343"/>
      <c r="EM343"/>
      <c r="EN343"/>
      <c r="EO343"/>
      <c r="EP343"/>
      <c r="EQ343"/>
      <c r="ER343"/>
      <c r="ES343"/>
      <c r="ET343"/>
      <c r="EU343"/>
      <c r="EV343" s="439">
        <v>1378</v>
      </c>
      <c r="EW343" t="s">
        <v>3021</v>
      </c>
      <c r="EX343" t="s">
        <v>2416</v>
      </c>
      <c r="EY343" t="s">
        <v>2417</v>
      </c>
      <c r="EZ343" t="s">
        <v>54</v>
      </c>
      <c r="FA343">
        <v>56258</v>
      </c>
      <c r="FB343"/>
    </row>
    <row r="344" spans="1:158" x14ac:dyDescent="0.2">
      <c r="A344" s="439">
        <v>1484</v>
      </c>
      <c r="B344" t="s">
        <v>2704</v>
      </c>
      <c r="C344"/>
      <c r="D344"/>
      <c r="E344"/>
      <c r="F344"/>
      <c r="G344"/>
      <c r="H344"/>
      <c r="I344"/>
      <c r="J344"/>
      <c r="K344"/>
      <c r="L344"/>
      <c r="M344"/>
      <c r="N344"/>
      <c r="O344"/>
      <c r="P344"/>
      <c r="Q344"/>
      <c r="R344"/>
      <c r="S344"/>
      <c r="T344"/>
      <c r="U344"/>
      <c r="V344"/>
      <c r="W344"/>
      <c r="X344"/>
      <c r="Y344"/>
      <c r="Z344"/>
      <c r="AA344"/>
      <c r="AB344"/>
      <c r="AC344"/>
      <c r="AD344"/>
      <c r="AE344"/>
      <c r="AF344"/>
      <c r="AG344"/>
      <c r="AH344"/>
      <c r="AI344"/>
      <c r="AJ344"/>
      <c r="AK344"/>
      <c r="AL344"/>
      <c r="AM344"/>
      <c r="AN344"/>
      <c r="AO344"/>
      <c r="AP344"/>
      <c r="AQ344"/>
      <c r="AR344"/>
      <c r="AS344"/>
      <c r="AT344"/>
      <c r="AU344"/>
      <c r="AV344"/>
      <c r="AW344"/>
      <c r="AX344"/>
      <c r="AY344"/>
      <c r="AZ344"/>
      <c r="BA344"/>
      <c r="BB344"/>
      <c r="BC344"/>
      <c r="BD344"/>
      <c r="BE344"/>
      <c r="BF344"/>
      <c r="BG344"/>
      <c r="BH344"/>
      <c r="BI344"/>
      <c r="BJ344"/>
      <c r="BK344"/>
      <c r="BL344"/>
      <c r="BM344"/>
      <c r="BN344"/>
      <c r="BO344"/>
      <c r="BP344"/>
      <c r="BQ344"/>
      <c r="BR344"/>
      <c r="BS344"/>
      <c r="BT344"/>
      <c r="BU344"/>
      <c r="BV344"/>
      <c r="BW344"/>
      <c r="BX344"/>
      <c r="BY344"/>
      <c r="BZ344"/>
      <c r="CA344"/>
      <c r="CB344"/>
      <c r="CC344"/>
      <c r="CD344"/>
      <c r="CE344"/>
      <c r="CF344"/>
      <c r="CG344"/>
      <c r="CH344"/>
      <c r="CI344"/>
      <c r="CJ344"/>
      <c r="CK344"/>
      <c r="CL344"/>
      <c r="CM344"/>
      <c r="CN344"/>
      <c r="CO344"/>
      <c r="CP344"/>
      <c r="CQ344"/>
      <c r="CR344"/>
      <c r="CS344" t="s">
        <v>788</v>
      </c>
      <c r="CT344">
        <v>12</v>
      </c>
      <c r="CU344"/>
      <c r="CV344"/>
      <c r="CW344"/>
      <c r="CX344"/>
      <c r="CY344"/>
      <c r="CZ344"/>
      <c r="DA344"/>
      <c r="DB344"/>
      <c r="DC344"/>
      <c r="DD344"/>
      <c r="DE344"/>
      <c r="DF344"/>
      <c r="DG344"/>
      <c r="DH344"/>
      <c r="DI344"/>
      <c r="DJ344"/>
      <c r="DK344"/>
      <c r="DL344"/>
      <c r="DM344"/>
      <c r="DN344"/>
      <c r="DO344"/>
      <c r="DP344"/>
      <c r="DQ344"/>
      <c r="DR344"/>
      <c r="DS344"/>
      <c r="DT344"/>
      <c r="DU344"/>
      <c r="DV344"/>
      <c r="DW344"/>
      <c r="DX344"/>
      <c r="DY344"/>
      <c r="DZ344"/>
      <c r="EA344"/>
      <c r="EB344"/>
      <c r="EC344"/>
      <c r="ED344"/>
      <c r="EE344"/>
      <c r="EF344"/>
      <c r="EG344"/>
      <c r="EH344"/>
      <c r="EI344"/>
      <c r="EJ344"/>
      <c r="EK344"/>
      <c r="EL344"/>
      <c r="EM344"/>
      <c r="EN344"/>
      <c r="EO344"/>
      <c r="EP344"/>
      <c r="EQ344"/>
      <c r="ER344"/>
      <c r="ES344"/>
      <c r="ET344"/>
      <c r="EU344"/>
      <c r="EV344" s="439">
        <v>1005</v>
      </c>
      <c r="EW344" t="s">
        <v>2415</v>
      </c>
      <c r="EX344" t="s">
        <v>2416</v>
      </c>
      <c r="EY344" t="s">
        <v>2417</v>
      </c>
      <c r="EZ344" t="s">
        <v>54</v>
      </c>
      <c r="FA344">
        <v>56258</v>
      </c>
      <c r="FB344">
        <v>1063578466</v>
      </c>
    </row>
    <row r="345" spans="1:158" x14ac:dyDescent="0.2">
      <c r="A345" s="439">
        <v>1494</v>
      </c>
      <c r="B345" t="s">
        <v>2705</v>
      </c>
      <c r="C345"/>
      <c r="D345"/>
      <c r="E345"/>
      <c r="F345"/>
      <c r="G345"/>
      <c r="H345"/>
      <c r="I345"/>
      <c r="J345"/>
      <c r="K345"/>
      <c r="L345"/>
      <c r="M345"/>
      <c r="N345"/>
      <c r="O345"/>
      <c r="P345"/>
      <c r="Q345"/>
      <c r="R345"/>
      <c r="S345"/>
      <c r="T345"/>
      <c r="U345"/>
      <c r="V345"/>
      <c r="W345"/>
      <c r="X345"/>
      <c r="Y345"/>
      <c r="Z345"/>
      <c r="AA345"/>
      <c r="AB345"/>
      <c r="AC345"/>
      <c r="AD345"/>
      <c r="AE345"/>
      <c r="AF345"/>
      <c r="AG345"/>
      <c r="AH345"/>
      <c r="AI345"/>
      <c r="AJ345"/>
      <c r="AK345"/>
      <c r="AL345"/>
      <c r="AM345"/>
      <c r="AN345"/>
      <c r="AO345"/>
      <c r="AP345"/>
      <c r="AQ345"/>
      <c r="AR345"/>
      <c r="AS345"/>
      <c r="AT345"/>
      <c r="AU345"/>
      <c r="AV345"/>
      <c r="AW345"/>
      <c r="AX345"/>
      <c r="AY345"/>
      <c r="AZ345"/>
      <c r="BA345"/>
      <c r="BB345"/>
      <c r="BC345"/>
      <c r="BD345"/>
      <c r="BE345"/>
      <c r="BF345"/>
      <c r="BG345"/>
      <c r="BH345"/>
      <c r="BI345"/>
      <c r="BJ345"/>
      <c r="BK345"/>
      <c r="BL345"/>
      <c r="BM345"/>
      <c r="BN345"/>
      <c r="BO345"/>
      <c r="BP345"/>
      <c r="BQ345"/>
      <c r="BR345"/>
      <c r="BS345"/>
      <c r="BT345"/>
      <c r="BU345"/>
      <c r="BV345"/>
      <c r="BW345"/>
      <c r="BX345"/>
      <c r="BY345"/>
      <c r="BZ345"/>
      <c r="CA345"/>
      <c r="CB345"/>
      <c r="CC345"/>
      <c r="CD345"/>
      <c r="CE345"/>
      <c r="CF345"/>
      <c r="CG345"/>
      <c r="CH345"/>
      <c r="CI345"/>
      <c r="CJ345"/>
      <c r="CK345"/>
      <c r="CL345"/>
      <c r="CM345"/>
      <c r="CN345"/>
      <c r="CO345"/>
      <c r="CP345"/>
      <c r="CQ345"/>
      <c r="CR345"/>
      <c r="CS345" t="s">
        <v>788</v>
      </c>
      <c r="CT345">
        <v>12</v>
      </c>
      <c r="CU345"/>
      <c r="CV345"/>
      <c r="CW345"/>
      <c r="CX345"/>
      <c r="CY345"/>
      <c r="CZ345"/>
      <c r="DA345"/>
      <c r="DB345"/>
      <c r="DC345"/>
      <c r="DD345"/>
      <c r="DE345"/>
      <c r="DF345"/>
      <c r="DG345"/>
      <c r="DH345"/>
      <c r="DI345"/>
      <c r="DJ345"/>
      <c r="DK345"/>
      <c r="DL345"/>
      <c r="DM345"/>
      <c r="DN345"/>
      <c r="DO345"/>
      <c r="DP345"/>
      <c r="DQ345"/>
      <c r="DR345"/>
      <c r="DS345"/>
      <c r="DT345"/>
      <c r="DU345"/>
      <c r="DV345"/>
      <c r="DW345"/>
      <c r="DX345"/>
      <c r="DY345"/>
      <c r="DZ345"/>
      <c r="EA345"/>
      <c r="EB345"/>
      <c r="EC345"/>
      <c r="ED345"/>
      <c r="EE345"/>
      <c r="EF345"/>
      <c r="EG345"/>
      <c r="EH345"/>
      <c r="EI345"/>
      <c r="EJ345"/>
      <c r="EK345"/>
      <c r="EL345"/>
      <c r="EM345"/>
      <c r="EN345"/>
      <c r="EO345"/>
      <c r="EP345"/>
      <c r="EQ345"/>
      <c r="ER345"/>
      <c r="ES345"/>
      <c r="ET345"/>
      <c r="EU345"/>
      <c r="EV345" s="439">
        <v>369</v>
      </c>
      <c r="EW345" t="s">
        <v>3022</v>
      </c>
      <c r="EX345" t="s">
        <v>2416</v>
      </c>
      <c r="EY345" t="s">
        <v>2417</v>
      </c>
      <c r="EZ345" t="s">
        <v>54</v>
      </c>
      <c r="FA345">
        <v>56258</v>
      </c>
      <c r="FB345">
        <v>1407023161</v>
      </c>
    </row>
    <row r="346" spans="1:158" ht="15" x14ac:dyDescent="0.25">
      <c r="A346" s="439"/>
      <c r="B346"/>
      <c r="C346"/>
      <c r="D346"/>
      <c r="E346"/>
      <c r="F346"/>
      <c r="G346"/>
      <c r="H346"/>
      <c r="I346"/>
      <c r="J346"/>
      <c r="K346"/>
      <c r="L346"/>
      <c r="M346"/>
      <c r="N346"/>
      <c r="O346"/>
      <c r="P346"/>
      <c r="Q346"/>
      <c r="R346"/>
      <c r="S346"/>
      <c r="T346"/>
      <c r="U346"/>
      <c r="V346"/>
      <c r="W346"/>
      <c r="X346"/>
      <c r="Y346"/>
      <c r="Z346"/>
      <c r="AA346"/>
      <c r="AB346"/>
      <c r="AC346"/>
      <c r="AD346"/>
      <c r="AE346"/>
      <c r="AF346"/>
      <c r="AG346"/>
      <c r="AH346"/>
      <c r="AI346"/>
      <c r="AJ346"/>
      <c r="AK346"/>
      <c r="AL346"/>
      <c r="AM346"/>
      <c r="AN346"/>
      <c r="AO346"/>
      <c r="AP346"/>
      <c r="AQ346"/>
      <c r="AR346"/>
      <c r="AS346"/>
      <c r="AT346"/>
      <c r="AU346"/>
      <c r="AV346"/>
      <c r="AW346"/>
      <c r="AX346"/>
      <c r="AY346"/>
      <c r="AZ346"/>
      <c r="BA346"/>
      <c r="BB346"/>
      <c r="BC346"/>
      <c r="BD346"/>
      <c r="BE346"/>
      <c r="BF346"/>
      <c r="BG346"/>
      <c r="BH346"/>
      <c r="BI346"/>
      <c r="BJ346"/>
      <c r="BK346"/>
      <c r="BL346"/>
      <c r="BM346"/>
      <c r="BN346"/>
      <c r="BO346"/>
      <c r="BP346"/>
      <c r="BQ346"/>
      <c r="BR346"/>
      <c r="BS346"/>
      <c r="BT346"/>
      <c r="BU346"/>
      <c r="BV346"/>
      <c r="BW346"/>
      <c r="BX346"/>
      <c r="BY346"/>
      <c r="BZ346"/>
      <c r="CA346"/>
      <c r="CB346"/>
      <c r="CC346"/>
      <c r="CD346"/>
      <c r="CE346"/>
      <c r="CF346"/>
      <c r="CG346"/>
      <c r="CH346"/>
      <c r="CI346"/>
      <c r="CJ346"/>
      <c r="CK346"/>
      <c r="CL346"/>
      <c r="CM346"/>
      <c r="CN346"/>
      <c r="CO346"/>
      <c r="CP346"/>
      <c r="CQ346"/>
      <c r="CR346"/>
      <c r="CS346"/>
      <c r="CT346"/>
      <c r="CU346"/>
      <c r="CV346"/>
      <c r="CW346"/>
      <c r="CX346"/>
      <c r="CY346"/>
      <c r="CZ346"/>
      <c r="DA346"/>
      <c r="DB346"/>
      <c r="DC346"/>
      <c r="DD346"/>
      <c r="DE346"/>
      <c r="DF346"/>
      <c r="DG346"/>
      <c r="DH346"/>
      <c r="DI346"/>
      <c r="DJ346"/>
      <c r="DK346"/>
      <c r="DL346"/>
      <c r="DM346"/>
      <c r="DN346"/>
      <c r="DO346"/>
      <c r="DP346"/>
      <c r="DQ346"/>
      <c r="DR346"/>
      <c r="DS346"/>
      <c r="DT346"/>
      <c r="DU346"/>
      <c r="DV346"/>
      <c r="DW346"/>
      <c r="DX346"/>
      <c r="DY346"/>
      <c r="DZ346"/>
      <c r="EA346"/>
      <c r="EB346"/>
      <c r="EC346"/>
      <c r="ED346"/>
      <c r="EE346"/>
      <c r="EF346"/>
      <c r="EG346"/>
      <c r="EH346" s="464"/>
      <c r="EI346" s="439"/>
      <c r="EJ346"/>
      <c r="EK346"/>
      <c r="EL346"/>
      <c r="EM346"/>
      <c r="EN346"/>
      <c r="EO346"/>
      <c r="EV346" s="439">
        <v>1693</v>
      </c>
      <c r="EW346" t="s">
        <v>1846</v>
      </c>
      <c r="EX346" t="s">
        <v>1847</v>
      </c>
      <c r="EY346" t="s">
        <v>1848</v>
      </c>
      <c r="EZ346" t="s">
        <v>1849</v>
      </c>
      <c r="FA346">
        <v>50401</v>
      </c>
      <c r="FB346">
        <v>1093767113</v>
      </c>
    </row>
    <row r="347" spans="1:158" ht="15" x14ac:dyDescent="0.25">
      <c r="A347" s="439"/>
      <c r="B347"/>
      <c r="C347"/>
      <c r="D347"/>
      <c r="E347"/>
      <c r="F347"/>
      <c r="G347"/>
      <c r="H347"/>
      <c r="I347"/>
      <c r="J347"/>
      <c r="K347"/>
      <c r="L347"/>
      <c r="M347"/>
      <c r="N347"/>
      <c r="O347"/>
      <c r="P347"/>
      <c r="Q347"/>
      <c r="R347"/>
      <c r="S347"/>
      <c r="T347"/>
      <c r="U347"/>
      <c r="V347"/>
      <c r="W347"/>
      <c r="X347"/>
      <c r="Y347"/>
      <c r="Z347"/>
      <c r="AA347"/>
      <c r="AB347"/>
      <c r="AC347"/>
      <c r="AD347"/>
      <c r="AE347"/>
      <c r="AF347"/>
      <c r="AG347"/>
      <c r="AH347"/>
      <c r="AI347"/>
      <c r="AJ347"/>
      <c r="AK347"/>
      <c r="AL347"/>
      <c r="AM347"/>
      <c r="AN347"/>
      <c r="AO347"/>
      <c r="AP347"/>
      <c r="AQ347"/>
      <c r="AR347"/>
      <c r="AS347"/>
      <c r="AT347"/>
      <c r="AU347"/>
      <c r="AV347"/>
      <c r="AW347"/>
      <c r="AX347"/>
      <c r="AY347"/>
      <c r="AZ347"/>
      <c r="BA347"/>
      <c r="BB347"/>
      <c r="BC347"/>
      <c r="BD347"/>
      <c r="BE347"/>
      <c r="BF347"/>
      <c r="BG347"/>
      <c r="BH347"/>
      <c r="BI347"/>
      <c r="BJ347"/>
      <c r="BK347"/>
      <c r="BL347"/>
      <c r="BM347"/>
      <c r="BN347"/>
      <c r="BO347"/>
      <c r="BP347"/>
      <c r="BQ347"/>
      <c r="BR347"/>
      <c r="BS347"/>
      <c r="BT347"/>
      <c r="BU347"/>
      <c r="BV347"/>
      <c r="BW347"/>
      <c r="BX347"/>
      <c r="BY347"/>
      <c r="BZ347"/>
      <c r="CA347"/>
      <c r="CB347"/>
      <c r="CC347"/>
      <c r="CD347"/>
      <c r="CE347"/>
      <c r="CF347"/>
      <c r="CG347"/>
      <c r="CH347"/>
      <c r="CI347"/>
      <c r="CJ347"/>
      <c r="CK347"/>
      <c r="CL347"/>
      <c r="CM347"/>
      <c r="CN347"/>
      <c r="CO347"/>
      <c r="CP347"/>
      <c r="CQ347"/>
      <c r="CR347"/>
      <c r="CS347"/>
      <c r="CT347"/>
      <c r="CU347"/>
      <c r="CV347"/>
      <c r="CW347"/>
      <c r="CX347"/>
      <c r="CY347"/>
      <c r="CZ347"/>
      <c r="DA347"/>
      <c r="DB347"/>
      <c r="DC347"/>
      <c r="DD347"/>
      <c r="DE347"/>
      <c r="DF347"/>
      <c r="DG347"/>
      <c r="DH347"/>
      <c r="DI347"/>
      <c r="DJ347"/>
      <c r="DK347"/>
      <c r="DL347"/>
      <c r="DM347"/>
      <c r="DN347"/>
      <c r="DO347"/>
      <c r="DP347"/>
      <c r="DQ347"/>
      <c r="DR347"/>
      <c r="DS347"/>
      <c r="DT347"/>
      <c r="DU347"/>
      <c r="DV347"/>
      <c r="DW347"/>
      <c r="DX347"/>
      <c r="DY347"/>
      <c r="DZ347"/>
      <c r="EA347"/>
      <c r="EB347"/>
      <c r="EC347"/>
      <c r="ED347"/>
      <c r="EE347"/>
      <c r="EF347"/>
      <c r="EG347"/>
      <c r="EH347" s="464"/>
      <c r="EI347" s="439"/>
      <c r="EJ347"/>
      <c r="EK347"/>
      <c r="EL347"/>
      <c r="EM347"/>
      <c r="EN347"/>
      <c r="EO347"/>
      <c r="EV347" s="439">
        <v>81</v>
      </c>
      <c r="EW347" t="s">
        <v>3023</v>
      </c>
      <c r="EX347" t="s">
        <v>1238</v>
      </c>
      <c r="EY347" t="s">
        <v>3024</v>
      </c>
      <c r="EZ347" t="s">
        <v>54</v>
      </c>
      <c r="FA347">
        <v>56352</v>
      </c>
      <c r="FB347">
        <v>1720045073</v>
      </c>
    </row>
    <row r="348" spans="1:158" ht="15" x14ac:dyDescent="0.25">
      <c r="A348" s="439"/>
      <c r="B348"/>
      <c r="C348"/>
      <c r="D348"/>
      <c r="E348"/>
      <c r="F348"/>
      <c r="G348"/>
      <c r="H348"/>
      <c r="I348"/>
      <c r="J348"/>
      <c r="K348"/>
      <c r="L348"/>
      <c r="M348"/>
      <c r="N348"/>
      <c r="O348"/>
      <c r="P348"/>
      <c r="Q348"/>
      <c r="R348"/>
      <c r="S348"/>
      <c r="T348"/>
      <c r="U348"/>
      <c r="V348"/>
      <c r="W348"/>
      <c r="X348"/>
      <c r="Y348"/>
      <c r="Z348"/>
      <c r="AA348"/>
      <c r="AB348"/>
      <c r="AC348"/>
      <c r="AD348"/>
      <c r="AE348"/>
      <c r="AF348"/>
      <c r="AG348"/>
      <c r="AH348"/>
      <c r="AI348"/>
      <c r="AJ348"/>
      <c r="AK348"/>
      <c r="AL348"/>
      <c r="AM348"/>
      <c r="AN348"/>
      <c r="AO348"/>
      <c r="AP348"/>
      <c r="AQ348"/>
      <c r="AR348"/>
      <c r="AS348"/>
      <c r="AT348"/>
      <c r="AU348"/>
      <c r="AV348"/>
      <c r="AW348"/>
      <c r="AX348"/>
      <c r="AY348"/>
      <c r="AZ348"/>
      <c r="BA348"/>
      <c r="BB348"/>
      <c r="BC348"/>
      <c r="BD348"/>
      <c r="BE348"/>
      <c r="BF348"/>
      <c r="BG348"/>
      <c r="BH348"/>
      <c r="BI348"/>
      <c r="BJ348"/>
      <c r="BK348"/>
      <c r="BL348"/>
      <c r="BM348"/>
      <c r="BN348"/>
      <c r="BO348"/>
      <c r="BP348"/>
      <c r="BQ348"/>
      <c r="BR348"/>
      <c r="BS348"/>
      <c r="BT348"/>
      <c r="BU348"/>
      <c r="BV348"/>
      <c r="BW348"/>
      <c r="BX348"/>
      <c r="BY348"/>
      <c r="BZ348"/>
      <c r="CA348"/>
      <c r="CB348"/>
      <c r="CC348"/>
      <c r="CD348"/>
      <c r="CE348"/>
      <c r="CF348"/>
      <c r="CG348"/>
      <c r="CH348"/>
      <c r="CI348"/>
      <c r="CJ348"/>
      <c r="CK348"/>
      <c r="CL348"/>
      <c r="CM348"/>
      <c r="CN348"/>
      <c r="CO348"/>
      <c r="CP348"/>
      <c r="CQ348"/>
      <c r="CR348"/>
      <c r="CS348"/>
      <c r="CT348"/>
      <c r="CU348"/>
      <c r="CV348"/>
      <c r="CW348"/>
      <c r="CX348"/>
      <c r="CY348"/>
      <c r="CZ348"/>
      <c r="DA348"/>
      <c r="DB348"/>
      <c r="DC348"/>
      <c r="DD348"/>
      <c r="DE348"/>
      <c r="DF348"/>
      <c r="DG348"/>
      <c r="DH348"/>
      <c r="DI348"/>
      <c r="DJ348"/>
      <c r="DK348"/>
      <c r="DL348"/>
      <c r="DM348"/>
      <c r="DN348"/>
      <c r="DO348"/>
      <c r="DP348"/>
      <c r="DQ348"/>
      <c r="DR348"/>
      <c r="DS348"/>
      <c r="DT348"/>
      <c r="DU348"/>
      <c r="DV348"/>
      <c r="DW348"/>
      <c r="DX348"/>
      <c r="DY348"/>
      <c r="DZ348"/>
      <c r="EA348"/>
      <c r="EB348"/>
      <c r="EC348"/>
      <c r="ED348"/>
      <c r="EE348"/>
      <c r="EF348"/>
      <c r="EG348"/>
      <c r="EH348" s="466"/>
      <c r="EI348" s="439"/>
      <c r="EJ348"/>
      <c r="EK348"/>
      <c r="EL348"/>
      <c r="EM348"/>
      <c r="EN348"/>
      <c r="EO348"/>
      <c r="EV348" s="439">
        <v>846</v>
      </c>
      <c r="EW348" t="s">
        <v>1237</v>
      </c>
      <c r="EX348" t="s">
        <v>1238</v>
      </c>
      <c r="EY348" t="s">
        <v>1239</v>
      </c>
      <c r="EZ348" t="s">
        <v>54</v>
      </c>
      <c r="FA348">
        <v>56352</v>
      </c>
      <c r="FB348"/>
    </row>
    <row r="349" spans="1:158" ht="15" x14ac:dyDescent="0.25">
      <c r="A349" s="439"/>
      <c r="B349"/>
      <c r="C349"/>
      <c r="D349"/>
      <c r="E349"/>
      <c r="F349"/>
      <c r="G349"/>
      <c r="H349"/>
      <c r="I349"/>
      <c r="J349"/>
      <c r="K349"/>
      <c r="L349"/>
      <c r="M349"/>
      <c r="N349"/>
      <c r="O349"/>
      <c r="P349"/>
      <c r="Q349"/>
      <c r="R349"/>
      <c r="S349"/>
      <c r="T349"/>
      <c r="U349"/>
      <c r="V349"/>
      <c r="W349"/>
      <c r="X349"/>
      <c r="Y349"/>
      <c r="Z349"/>
      <c r="AA349"/>
      <c r="AB349"/>
      <c r="AC349"/>
      <c r="AD349"/>
      <c r="AE349"/>
      <c r="AF349"/>
      <c r="AG349"/>
      <c r="AH349"/>
      <c r="AI349"/>
      <c r="AJ349"/>
      <c r="AK349"/>
      <c r="AL349"/>
      <c r="AM349"/>
      <c r="AN349"/>
      <c r="AO349"/>
      <c r="AP349"/>
      <c r="AQ349"/>
      <c r="AR349"/>
      <c r="AS349"/>
      <c r="AT349"/>
      <c r="AU349"/>
      <c r="AV349"/>
      <c r="AW349"/>
      <c r="AX349"/>
      <c r="AY349"/>
      <c r="AZ349"/>
      <c r="BA349"/>
      <c r="BB349"/>
      <c r="BC349"/>
      <c r="BD349"/>
      <c r="BE349"/>
      <c r="BF349"/>
      <c r="BG349"/>
      <c r="BH349"/>
      <c r="BI349"/>
      <c r="BJ349"/>
      <c r="BK349"/>
      <c r="BL349"/>
      <c r="BM349"/>
      <c r="BN349"/>
      <c r="BO349"/>
      <c r="BP349"/>
      <c r="BQ349"/>
      <c r="BR349"/>
      <c r="BS349"/>
      <c r="BT349"/>
      <c r="BU349"/>
      <c r="BV349"/>
      <c r="BW349"/>
      <c r="BX349"/>
      <c r="BY349"/>
      <c r="BZ349"/>
      <c r="CA349"/>
      <c r="CB349"/>
      <c r="CC349"/>
      <c r="CD349"/>
      <c r="CE349"/>
      <c r="CF349"/>
      <c r="CG349"/>
      <c r="CH349"/>
      <c r="CI349"/>
      <c r="CJ349"/>
      <c r="CK349"/>
      <c r="CL349"/>
      <c r="CM349"/>
      <c r="CN349"/>
      <c r="CO349"/>
      <c r="CP349"/>
      <c r="CQ349"/>
      <c r="CR349"/>
      <c r="CS349"/>
      <c r="CT349"/>
      <c r="CU349"/>
      <c r="CV349"/>
      <c r="CW349"/>
      <c r="CX349"/>
      <c r="CY349"/>
      <c r="CZ349"/>
      <c r="DA349"/>
      <c r="DB349"/>
      <c r="DC349"/>
      <c r="DD349"/>
      <c r="DE349"/>
      <c r="DF349"/>
      <c r="DG349"/>
      <c r="DH349"/>
      <c r="DI349"/>
      <c r="DJ349"/>
      <c r="DK349"/>
      <c r="DL349"/>
      <c r="DM349"/>
      <c r="DN349"/>
      <c r="DO349"/>
      <c r="DP349"/>
      <c r="DQ349"/>
      <c r="DR349"/>
      <c r="DS349"/>
      <c r="DT349"/>
      <c r="DU349"/>
      <c r="DV349"/>
      <c r="DW349"/>
      <c r="DX349"/>
      <c r="DY349"/>
      <c r="DZ349"/>
      <c r="EA349"/>
      <c r="EB349"/>
      <c r="EC349"/>
      <c r="ED349"/>
      <c r="EE349"/>
      <c r="EF349"/>
      <c r="EG349"/>
      <c r="EH349" s="464"/>
      <c r="EI349" s="439"/>
      <c r="EJ349"/>
      <c r="EK349"/>
      <c r="EL349"/>
      <c r="EM349"/>
      <c r="EN349"/>
      <c r="EO349"/>
      <c r="EV349" s="439">
        <v>935</v>
      </c>
      <c r="EW349" t="s">
        <v>3025</v>
      </c>
      <c r="EX349" t="s">
        <v>3026</v>
      </c>
      <c r="EY349" t="s">
        <v>3027</v>
      </c>
      <c r="EZ349" t="s">
        <v>54</v>
      </c>
      <c r="FA349">
        <v>55120</v>
      </c>
      <c r="FB349"/>
    </row>
    <row r="350" spans="1:158" ht="15" x14ac:dyDescent="0.25">
      <c r="A350" s="439"/>
      <c r="B350"/>
      <c r="C350"/>
      <c r="D350"/>
      <c r="E350"/>
      <c r="F350"/>
      <c r="G350"/>
      <c r="H350"/>
      <c r="I350"/>
      <c r="J350"/>
      <c r="K350"/>
      <c r="L350"/>
      <c r="M350"/>
      <c r="N350"/>
      <c r="O350"/>
      <c r="P350"/>
      <c r="Q350"/>
      <c r="R350"/>
      <c r="S350"/>
      <c r="T350"/>
      <c r="U350"/>
      <c r="V350"/>
      <c r="W350"/>
      <c r="X350"/>
      <c r="Y350"/>
      <c r="Z350"/>
      <c r="AA350"/>
      <c r="AB350"/>
      <c r="AC350"/>
      <c r="AD350"/>
      <c r="AE350"/>
      <c r="AF350"/>
      <c r="AG350"/>
      <c r="AH350"/>
      <c r="AI350"/>
      <c r="AJ350"/>
      <c r="AK350"/>
      <c r="AL350"/>
      <c r="AM350"/>
      <c r="AN350"/>
      <c r="AO350"/>
      <c r="AP350"/>
      <c r="AQ350"/>
      <c r="AR350"/>
      <c r="AS350"/>
      <c r="AT350"/>
      <c r="AU350"/>
      <c r="AV350"/>
      <c r="AW350"/>
      <c r="AX350"/>
      <c r="AY350"/>
      <c r="AZ350"/>
      <c r="BA350"/>
      <c r="BB350"/>
      <c r="BC350"/>
      <c r="BD350"/>
      <c r="BE350"/>
      <c r="BF350"/>
      <c r="BG350"/>
      <c r="BH350"/>
      <c r="BI350"/>
      <c r="BJ350"/>
      <c r="BK350"/>
      <c r="BL350"/>
      <c r="BM350"/>
      <c r="BN350"/>
      <c r="BO350"/>
      <c r="BP350"/>
      <c r="BQ350"/>
      <c r="BR350"/>
      <c r="BS350"/>
      <c r="BT350"/>
      <c r="BU350"/>
      <c r="BV350"/>
      <c r="BW350"/>
      <c r="BX350"/>
      <c r="BY350"/>
      <c r="BZ350"/>
      <c r="CA350"/>
      <c r="CB350"/>
      <c r="CC350"/>
      <c r="CD350"/>
      <c r="CE350"/>
      <c r="CF350"/>
      <c r="CG350"/>
      <c r="CH350"/>
      <c r="CI350"/>
      <c r="CJ350"/>
      <c r="CK350"/>
      <c r="CL350"/>
      <c r="CM350"/>
      <c r="CN350"/>
      <c r="CO350"/>
      <c r="CP350"/>
      <c r="CQ350"/>
      <c r="CR350"/>
      <c r="CS350"/>
      <c r="CT350"/>
      <c r="CU350"/>
      <c r="CV350"/>
      <c r="CW350"/>
      <c r="CX350"/>
      <c r="CY350"/>
      <c r="CZ350"/>
      <c r="DA350"/>
      <c r="DB350"/>
      <c r="DC350"/>
      <c r="DD350"/>
      <c r="DE350"/>
      <c r="DF350"/>
      <c r="DG350"/>
      <c r="DH350"/>
      <c r="DI350"/>
      <c r="DJ350"/>
      <c r="DK350"/>
      <c r="DL350"/>
      <c r="DM350"/>
      <c r="DN350"/>
      <c r="DO350"/>
      <c r="DP350"/>
      <c r="DQ350"/>
      <c r="DR350"/>
      <c r="DS350"/>
      <c r="DT350"/>
      <c r="DU350"/>
      <c r="DV350"/>
      <c r="DW350"/>
      <c r="DX350"/>
      <c r="DY350"/>
      <c r="DZ350"/>
      <c r="EA350"/>
      <c r="EB350"/>
      <c r="EC350"/>
      <c r="ED350"/>
      <c r="EE350"/>
      <c r="EF350"/>
      <c r="EG350"/>
      <c r="EH350" s="464"/>
      <c r="EI350" s="439"/>
      <c r="EJ350"/>
      <c r="EK350"/>
      <c r="EL350"/>
      <c r="EM350"/>
      <c r="EN350"/>
      <c r="EO350"/>
      <c r="EV350" s="439">
        <v>1420</v>
      </c>
      <c r="EW350" t="s">
        <v>1194</v>
      </c>
      <c r="EX350" t="s">
        <v>1195</v>
      </c>
      <c r="EY350" t="s">
        <v>1196</v>
      </c>
      <c r="EZ350" t="s">
        <v>54</v>
      </c>
      <c r="FA350">
        <v>56353</v>
      </c>
      <c r="FB350"/>
    </row>
    <row r="351" spans="1:158" ht="15" x14ac:dyDescent="0.25">
      <c r="A351" s="439"/>
      <c r="B351"/>
      <c r="C351"/>
      <c r="D351"/>
      <c r="E351"/>
      <c r="F351"/>
      <c r="G351"/>
      <c r="H351"/>
      <c r="I351"/>
      <c r="J351"/>
      <c r="K351"/>
      <c r="L351"/>
      <c r="M351"/>
      <c r="N351"/>
      <c r="O351"/>
      <c r="P351"/>
      <c r="Q351"/>
      <c r="R351"/>
      <c r="S351"/>
      <c r="T351"/>
      <c r="U351"/>
      <c r="V351"/>
      <c r="W351"/>
      <c r="X351"/>
      <c r="Y351"/>
      <c r="Z351"/>
      <c r="AA351"/>
      <c r="AB351"/>
      <c r="AC351"/>
      <c r="AD351"/>
      <c r="AE351"/>
      <c r="AF351"/>
      <c r="AG351"/>
      <c r="AH351"/>
      <c r="AI351"/>
      <c r="AJ351"/>
      <c r="AK351"/>
      <c r="AL351"/>
      <c r="AM351"/>
      <c r="AN351"/>
      <c r="AO351"/>
      <c r="AP351"/>
      <c r="AQ351"/>
      <c r="AR351"/>
      <c r="AS351"/>
      <c r="AT351"/>
      <c r="AU351"/>
      <c r="AV351"/>
      <c r="AW351"/>
      <c r="AX351"/>
      <c r="AY351"/>
      <c r="AZ351"/>
      <c r="BA351"/>
      <c r="BB351"/>
      <c r="BC351"/>
      <c r="BD351"/>
      <c r="BE351"/>
      <c r="BF351"/>
      <c r="BG351"/>
      <c r="BH351"/>
      <c r="BI351"/>
      <c r="BJ351"/>
      <c r="BK351"/>
      <c r="BL351"/>
      <c r="BM351"/>
      <c r="BN351"/>
      <c r="BO351"/>
      <c r="BP351"/>
      <c r="BQ351"/>
      <c r="BR351"/>
      <c r="BS351"/>
      <c r="BT351"/>
      <c r="BU351"/>
      <c r="BV351"/>
      <c r="BW351"/>
      <c r="BX351"/>
      <c r="BY351"/>
      <c r="BZ351"/>
      <c r="CA351"/>
      <c r="CB351"/>
      <c r="CC351"/>
      <c r="CD351"/>
      <c r="CE351"/>
      <c r="CF351"/>
      <c r="CG351"/>
      <c r="CH351"/>
      <c r="CI351"/>
      <c r="CJ351"/>
      <c r="CK351"/>
      <c r="CL351"/>
      <c r="CM351"/>
      <c r="CN351"/>
      <c r="CO351"/>
      <c r="CP351"/>
      <c r="CQ351"/>
      <c r="CR351"/>
      <c r="CS351"/>
      <c r="CT351"/>
      <c r="CU351"/>
      <c r="CV351"/>
      <c r="CW351"/>
      <c r="CX351"/>
      <c r="CY351"/>
      <c r="CZ351"/>
      <c r="DA351"/>
      <c r="DB351"/>
      <c r="DC351"/>
      <c r="DD351"/>
      <c r="DE351"/>
      <c r="DF351"/>
      <c r="DG351"/>
      <c r="DH351"/>
      <c r="DI351"/>
      <c r="DJ351"/>
      <c r="DK351"/>
      <c r="DL351"/>
      <c r="DM351"/>
      <c r="DN351"/>
      <c r="DO351"/>
      <c r="DP351"/>
      <c r="DQ351"/>
      <c r="DR351"/>
      <c r="DS351"/>
      <c r="DT351"/>
      <c r="DU351"/>
      <c r="DV351"/>
      <c r="DW351"/>
      <c r="DX351"/>
      <c r="DY351"/>
      <c r="DZ351"/>
      <c r="EA351"/>
      <c r="EB351"/>
      <c r="EC351"/>
      <c r="ED351"/>
      <c r="EE351"/>
      <c r="EF351"/>
      <c r="EG351"/>
      <c r="EH351" s="466"/>
      <c r="EI351" s="439"/>
      <c r="EJ351"/>
      <c r="EK351"/>
      <c r="EL351"/>
      <c r="EM351"/>
      <c r="EN351"/>
      <c r="EO351"/>
      <c r="EV351" s="439">
        <v>867</v>
      </c>
      <c r="EW351" t="s">
        <v>1211</v>
      </c>
      <c r="EX351" t="s">
        <v>1195</v>
      </c>
      <c r="EY351" t="s">
        <v>1196</v>
      </c>
      <c r="EZ351" t="s">
        <v>54</v>
      </c>
      <c r="FA351">
        <v>56353</v>
      </c>
      <c r="FB351"/>
    </row>
    <row r="352" spans="1:158" ht="15" x14ac:dyDescent="0.25">
      <c r="A352" s="439"/>
      <c r="B352"/>
      <c r="C352"/>
      <c r="D352"/>
      <c r="E352"/>
      <c r="F352"/>
      <c r="G352"/>
      <c r="H352"/>
      <c r="I352"/>
      <c r="J352"/>
      <c r="K352"/>
      <c r="L352"/>
      <c r="M352"/>
      <c r="N352"/>
      <c r="O352"/>
      <c r="P352"/>
      <c r="Q352"/>
      <c r="R352"/>
      <c r="S352"/>
      <c r="T352"/>
      <c r="U352"/>
      <c r="V352"/>
      <c r="W352"/>
      <c r="X352"/>
      <c r="Y352"/>
      <c r="Z352"/>
      <c r="AA352"/>
      <c r="AB352"/>
      <c r="AC352"/>
      <c r="AD352"/>
      <c r="AE352"/>
      <c r="AF352"/>
      <c r="AG352"/>
      <c r="AH352"/>
      <c r="AI352"/>
      <c r="AJ352"/>
      <c r="AK352"/>
      <c r="AL352"/>
      <c r="AM352"/>
      <c r="AN352"/>
      <c r="AO352"/>
      <c r="AP352"/>
      <c r="AQ352"/>
      <c r="AR352"/>
      <c r="AS352"/>
      <c r="AT352"/>
      <c r="AU352"/>
      <c r="AV352"/>
      <c r="AW352"/>
      <c r="AX352"/>
      <c r="AY352"/>
      <c r="AZ352"/>
      <c r="BA352"/>
      <c r="BB352"/>
      <c r="BC352"/>
      <c r="BD352"/>
      <c r="BE352"/>
      <c r="BF352"/>
      <c r="BG352"/>
      <c r="BH352"/>
      <c r="BI352"/>
      <c r="BJ352"/>
      <c r="BK352"/>
      <c r="BL352"/>
      <c r="BM352"/>
      <c r="BN352"/>
      <c r="BO352"/>
      <c r="BP352"/>
      <c r="BQ352"/>
      <c r="BR352"/>
      <c r="BS352"/>
      <c r="BT352"/>
      <c r="BU352"/>
      <c r="BV352"/>
      <c r="BW352"/>
      <c r="BX352"/>
      <c r="BY352"/>
      <c r="BZ352"/>
      <c r="CA352"/>
      <c r="CB352"/>
      <c r="CC352"/>
      <c r="CD352"/>
      <c r="CE352"/>
      <c r="CF352"/>
      <c r="CG352"/>
      <c r="CH352"/>
      <c r="CI352"/>
      <c r="CJ352"/>
      <c r="CK352"/>
      <c r="CL352"/>
      <c r="CM352"/>
      <c r="CN352"/>
      <c r="CO352"/>
      <c r="CP352"/>
      <c r="CQ352"/>
      <c r="CR352"/>
      <c r="CS352"/>
      <c r="CT352"/>
      <c r="CU352"/>
      <c r="CV352"/>
      <c r="CW352"/>
      <c r="CX352"/>
      <c r="CY352"/>
      <c r="CZ352"/>
      <c r="DA352"/>
      <c r="DB352"/>
      <c r="DC352"/>
      <c r="DD352"/>
      <c r="DE352"/>
      <c r="DF352"/>
      <c r="DG352"/>
      <c r="DH352"/>
      <c r="DI352"/>
      <c r="DJ352"/>
      <c r="DK352"/>
      <c r="DL352"/>
      <c r="DM352"/>
      <c r="DN352"/>
      <c r="DO352"/>
      <c r="DP352"/>
      <c r="DQ352"/>
      <c r="DR352"/>
      <c r="DS352"/>
      <c r="DT352"/>
      <c r="DU352"/>
      <c r="DV352"/>
      <c r="DW352"/>
      <c r="DX352"/>
      <c r="DY352"/>
      <c r="DZ352"/>
      <c r="EA352"/>
      <c r="EB352"/>
      <c r="EC352"/>
      <c r="ED352"/>
      <c r="EE352"/>
      <c r="EF352"/>
      <c r="EG352"/>
      <c r="EH352" s="466"/>
      <c r="EI352" s="439"/>
      <c r="EJ352"/>
      <c r="EK352"/>
      <c r="EL352"/>
      <c r="EM352"/>
      <c r="EN352"/>
      <c r="EO352"/>
      <c r="EV352" s="439">
        <v>865</v>
      </c>
      <c r="EW352" t="s">
        <v>1212</v>
      </c>
      <c r="EX352" t="s">
        <v>1195</v>
      </c>
      <c r="EY352" t="s">
        <v>1196</v>
      </c>
      <c r="EZ352" t="s">
        <v>54</v>
      </c>
      <c r="FA352">
        <v>56353</v>
      </c>
      <c r="FB352"/>
    </row>
    <row r="353" spans="1:158" ht="15" x14ac:dyDescent="0.25">
      <c r="A353" s="439"/>
      <c r="B353"/>
      <c r="C353"/>
      <c r="D353"/>
      <c r="E353"/>
      <c r="F353"/>
      <c r="G353"/>
      <c r="H353"/>
      <c r="I353"/>
      <c r="J353"/>
      <c r="K353"/>
      <c r="L353"/>
      <c r="M353"/>
      <c r="N353"/>
      <c r="O353"/>
      <c r="P353"/>
      <c r="Q353"/>
      <c r="R353"/>
      <c r="S353"/>
      <c r="T353"/>
      <c r="U353"/>
      <c r="V353"/>
      <c r="W353"/>
      <c r="X353"/>
      <c r="Y353"/>
      <c r="Z353"/>
      <c r="AA353"/>
      <c r="AB353"/>
      <c r="AC353"/>
      <c r="AD353"/>
      <c r="AE353"/>
      <c r="AF353"/>
      <c r="AG353"/>
      <c r="AH353"/>
      <c r="AI353"/>
      <c r="AJ353"/>
      <c r="AK353"/>
      <c r="AL353"/>
      <c r="AM353"/>
      <c r="AN353"/>
      <c r="AO353"/>
      <c r="AP353"/>
      <c r="AQ353"/>
      <c r="AR353"/>
      <c r="AS353"/>
      <c r="AT353"/>
      <c r="AU353"/>
      <c r="AV353"/>
      <c r="AW353"/>
      <c r="AX353"/>
      <c r="AY353"/>
      <c r="AZ353"/>
      <c r="BA353"/>
      <c r="BB353"/>
      <c r="BC353"/>
      <c r="BD353"/>
      <c r="BE353"/>
      <c r="BF353"/>
      <c r="BG353"/>
      <c r="BH353"/>
      <c r="BI353"/>
      <c r="BJ353"/>
      <c r="BK353"/>
      <c r="BL353"/>
      <c r="BM353"/>
      <c r="BN353"/>
      <c r="BO353"/>
      <c r="BP353"/>
      <c r="BQ353"/>
      <c r="BR353"/>
      <c r="BS353"/>
      <c r="BT353"/>
      <c r="BU353"/>
      <c r="BV353"/>
      <c r="BW353"/>
      <c r="BX353"/>
      <c r="BY353"/>
      <c r="BZ353"/>
      <c r="CA353"/>
      <c r="CB353"/>
      <c r="CC353"/>
      <c r="CD353"/>
      <c r="CE353"/>
      <c r="CF353"/>
      <c r="CG353"/>
      <c r="CH353"/>
      <c r="CI353"/>
      <c r="CJ353"/>
      <c r="CK353"/>
      <c r="CL353"/>
      <c r="CM353"/>
      <c r="CN353"/>
      <c r="CO353"/>
      <c r="CP353"/>
      <c r="CQ353"/>
      <c r="CR353"/>
      <c r="CS353"/>
      <c r="CT353"/>
      <c r="CU353"/>
      <c r="CV353"/>
      <c r="CW353"/>
      <c r="CX353"/>
      <c r="CY353"/>
      <c r="CZ353"/>
      <c r="DA353"/>
      <c r="DB353"/>
      <c r="DC353"/>
      <c r="DD353"/>
      <c r="DE353"/>
      <c r="DF353"/>
      <c r="DG353"/>
      <c r="DH353"/>
      <c r="DI353"/>
      <c r="DJ353"/>
      <c r="DK353"/>
      <c r="DL353"/>
      <c r="DM353"/>
      <c r="DN353"/>
      <c r="DO353"/>
      <c r="DP353"/>
      <c r="DQ353"/>
      <c r="DR353"/>
      <c r="DS353"/>
      <c r="DT353"/>
      <c r="DU353"/>
      <c r="DV353"/>
      <c r="DW353"/>
      <c r="DX353"/>
      <c r="DY353"/>
      <c r="DZ353"/>
      <c r="EA353"/>
      <c r="EB353"/>
      <c r="EC353"/>
      <c r="ED353"/>
      <c r="EE353"/>
      <c r="EF353"/>
      <c r="EG353"/>
      <c r="EH353" s="464"/>
      <c r="EI353" s="439"/>
      <c r="EJ353"/>
      <c r="EK353"/>
      <c r="EL353"/>
      <c r="EM353"/>
      <c r="EN353"/>
      <c r="EO353"/>
      <c r="EV353" s="439">
        <v>864</v>
      </c>
      <c r="EW353" t="s">
        <v>3028</v>
      </c>
      <c r="EX353" t="s">
        <v>1195</v>
      </c>
      <c r="EY353" t="s">
        <v>1196</v>
      </c>
      <c r="EZ353" t="s">
        <v>54</v>
      </c>
      <c r="FA353">
        <v>56353</v>
      </c>
      <c r="FB353"/>
    </row>
    <row r="354" spans="1:158" ht="15" x14ac:dyDescent="0.25">
      <c r="A354" s="439"/>
      <c r="B354"/>
      <c r="C354"/>
      <c r="D354"/>
      <c r="E354"/>
      <c r="F354"/>
      <c r="G354"/>
      <c r="H354"/>
      <c r="I354"/>
      <c r="J354"/>
      <c r="K354"/>
      <c r="L354"/>
      <c r="M354"/>
      <c r="N354"/>
      <c r="O354"/>
      <c r="P354"/>
      <c r="Q354"/>
      <c r="R354"/>
      <c r="S354"/>
      <c r="T354"/>
      <c r="U354"/>
      <c r="V354"/>
      <c r="W354"/>
      <c r="X354"/>
      <c r="Y354"/>
      <c r="Z354"/>
      <c r="AA354"/>
      <c r="AB354"/>
      <c r="AC354"/>
      <c r="AD354"/>
      <c r="AE354"/>
      <c r="AF354"/>
      <c r="AG354"/>
      <c r="AH354"/>
      <c r="AI354"/>
      <c r="AJ354"/>
      <c r="AK354"/>
      <c r="AL354"/>
      <c r="AM354"/>
      <c r="AN354"/>
      <c r="AO354"/>
      <c r="AP354"/>
      <c r="AQ354"/>
      <c r="AR354"/>
      <c r="AS354"/>
      <c r="AT354"/>
      <c r="AU354"/>
      <c r="AV354"/>
      <c r="AW354"/>
      <c r="AX354"/>
      <c r="AY354"/>
      <c r="AZ354"/>
      <c r="BA354"/>
      <c r="BB354"/>
      <c r="BC354"/>
      <c r="BD354"/>
      <c r="BE354"/>
      <c r="BF354"/>
      <c r="BG354"/>
      <c r="BH354"/>
      <c r="BI354"/>
      <c r="BJ354"/>
      <c r="BK354"/>
      <c r="BL354"/>
      <c r="BM354"/>
      <c r="BN354"/>
      <c r="BO354"/>
      <c r="BP354"/>
      <c r="BQ354"/>
      <c r="BR354"/>
      <c r="BS354"/>
      <c r="BT354"/>
      <c r="BU354"/>
      <c r="BV354"/>
      <c r="BW354"/>
      <c r="BX354"/>
      <c r="BY354"/>
      <c r="BZ354"/>
      <c r="CA354"/>
      <c r="CB354"/>
      <c r="CC354"/>
      <c r="CD354"/>
      <c r="CE354"/>
      <c r="CF354"/>
      <c r="CG354"/>
      <c r="CH354"/>
      <c r="CI354"/>
      <c r="CJ354"/>
      <c r="CK354"/>
      <c r="CL354"/>
      <c r="CM354"/>
      <c r="CN354"/>
      <c r="CO354"/>
      <c r="CP354"/>
      <c r="CQ354"/>
      <c r="CR354"/>
      <c r="CS354"/>
      <c r="CT354"/>
      <c r="CU354"/>
      <c r="CV354"/>
      <c r="CW354"/>
      <c r="CX354"/>
      <c r="CY354"/>
      <c r="CZ354"/>
      <c r="DA354"/>
      <c r="DB354"/>
      <c r="DC354"/>
      <c r="DD354"/>
      <c r="DE354"/>
      <c r="DF354"/>
      <c r="DG354"/>
      <c r="DH354"/>
      <c r="DI354"/>
      <c r="DJ354"/>
      <c r="DK354"/>
      <c r="DL354"/>
      <c r="DM354"/>
      <c r="DN354"/>
      <c r="DO354"/>
      <c r="DP354"/>
      <c r="DQ354"/>
      <c r="DR354"/>
      <c r="DS354"/>
      <c r="DT354"/>
      <c r="DU354"/>
      <c r="DV354"/>
      <c r="DW354"/>
      <c r="DX354"/>
      <c r="DY354"/>
      <c r="DZ354"/>
      <c r="EA354"/>
      <c r="EB354"/>
      <c r="EC354"/>
      <c r="ED354"/>
      <c r="EE354"/>
      <c r="EF354"/>
      <c r="EG354"/>
      <c r="EH354" s="464"/>
      <c r="EI354" s="439"/>
      <c r="EJ354"/>
      <c r="EK354"/>
      <c r="EL354"/>
      <c r="EM354"/>
      <c r="EN354"/>
      <c r="EO354"/>
      <c r="EV354" s="439">
        <v>2</v>
      </c>
      <c r="EW354" t="s">
        <v>3029</v>
      </c>
      <c r="EX354" t="s">
        <v>901</v>
      </c>
      <c r="EY354" t="s">
        <v>900</v>
      </c>
      <c r="EZ354" t="s">
        <v>54</v>
      </c>
      <c r="FA354">
        <v>55407</v>
      </c>
      <c r="FB354">
        <v>1760446256</v>
      </c>
    </row>
    <row r="355" spans="1:158" ht="15" x14ac:dyDescent="0.25">
      <c r="A355" s="439"/>
      <c r="B355"/>
      <c r="C355"/>
      <c r="D355"/>
      <c r="E355"/>
      <c r="F355"/>
      <c r="G355"/>
      <c r="H355"/>
      <c r="I355"/>
      <c r="J355"/>
      <c r="K355"/>
      <c r="L355"/>
      <c r="M355"/>
      <c r="N355"/>
      <c r="O355"/>
      <c r="P355"/>
      <c r="Q355"/>
      <c r="R355"/>
      <c r="S355"/>
      <c r="T355"/>
      <c r="U355"/>
      <c r="V355"/>
      <c r="W355"/>
      <c r="X355"/>
      <c r="Y355"/>
      <c r="Z355"/>
      <c r="AA355"/>
      <c r="AB355"/>
      <c r="AC355"/>
      <c r="AD355"/>
      <c r="AE355"/>
      <c r="AF355"/>
      <c r="AG355"/>
      <c r="AH355"/>
      <c r="AI355"/>
      <c r="AJ355"/>
      <c r="AK355"/>
      <c r="AL355"/>
      <c r="AM355"/>
      <c r="AN355"/>
      <c r="AO355"/>
      <c r="AP355"/>
      <c r="AQ355"/>
      <c r="AR355"/>
      <c r="AS355"/>
      <c r="AT355"/>
      <c r="AU355"/>
      <c r="AV355"/>
      <c r="AW355"/>
      <c r="AX355"/>
      <c r="AY355"/>
      <c r="AZ355"/>
      <c r="BA355"/>
      <c r="BB355"/>
      <c r="BC355"/>
      <c r="BD355"/>
      <c r="BE355"/>
      <c r="BF355"/>
      <c r="BG355"/>
      <c r="BH355"/>
      <c r="BI355"/>
      <c r="BJ355"/>
      <c r="BK355"/>
      <c r="BL355"/>
      <c r="BM355"/>
      <c r="BN355"/>
      <c r="BO355"/>
      <c r="BP355"/>
      <c r="BQ355"/>
      <c r="BR355"/>
      <c r="BS355"/>
      <c r="BT355"/>
      <c r="BU355"/>
      <c r="BV355"/>
      <c r="BW355"/>
      <c r="BX355"/>
      <c r="BY355"/>
      <c r="BZ355"/>
      <c r="CA355"/>
      <c r="CB355"/>
      <c r="CC355"/>
      <c r="CD355"/>
      <c r="CE355"/>
      <c r="CF355"/>
      <c r="CG355"/>
      <c r="CH355"/>
      <c r="CI355"/>
      <c r="CJ355"/>
      <c r="CK355"/>
      <c r="CL355"/>
      <c r="CM355"/>
      <c r="CN355"/>
      <c r="CO355"/>
      <c r="CP355"/>
      <c r="CQ355"/>
      <c r="CR355"/>
      <c r="CS355"/>
      <c r="CT355"/>
      <c r="CU355"/>
      <c r="CV355"/>
      <c r="CW355"/>
      <c r="CX355"/>
      <c r="CY355"/>
      <c r="CZ355"/>
      <c r="DA355"/>
      <c r="DB355"/>
      <c r="DC355"/>
      <c r="DD355"/>
      <c r="DE355"/>
      <c r="DF355"/>
      <c r="DG355"/>
      <c r="DH355"/>
      <c r="DI355"/>
      <c r="DJ355"/>
      <c r="DK355"/>
      <c r="DL355"/>
      <c r="DM355"/>
      <c r="DN355"/>
      <c r="DO355"/>
      <c r="DP355"/>
      <c r="DQ355"/>
      <c r="DR355"/>
      <c r="DS355"/>
      <c r="DT355"/>
      <c r="DU355"/>
      <c r="DV355"/>
      <c r="DW355"/>
      <c r="DX355"/>
      <c r="DY355"/>
      <c r="DZ355"/>
      <c r="EA355"/>
      <c r="EB355"/>
      <c r="EC355"/>
      <c r="ED355"/>
      <c r="EE355"/>
      <c r="EF355"/>
      <c r="EG355"/>
      <c r="EH355" s="464"/>
      <c r="EI355" s="439"/>
      <c r="EJ355"/>
      <c r="EK355"/>
      <c r="EL355"/>
      <c r="EM355"/>
      <c r="EN355"/>
      <c r="EO355"/>
      <c r="EV355" s="439">
        <v>544</v>
      </c>
      <c r="EW355" t="s">
        <v>1084</v>
      </c>
      <c r="EX355" t="s">
        <v>901</v>
      </c>
      <c r="EY355" t="s">
        <v>1085</v>
      </c>
      <c r="EZ355" t="s">
        <v>54</v>
      </c>
      <c r="FA355">
        <v>55455</v>
      </c>
      <c r="FB355">
        <v>1477598118</v>
      </c>
    </row>
    <row r="356" spans="1:158" ht="15" x14ac:dyDescent="0.25">
      <c r="A356" s="439"/>
      <c r="B356"/>
      <c r="C356"/>
      <c r="D356"/>
      <c r="E356"/>
      <c r="F356"/>
      <c r="G356"/>
      <c r="H356"/>
      <c r="I356"/>
      <c r="J356"/>
      <c r="K356"/>
      <c r="L356"/>
      <c r="M356"/>
      <c r="N356"/>
      <c r="O356"/>
      <c r="P356"/>
      <c r="Q356"/>
      <c r="R356"/>
      <c r="S356"/>
      <c r="T356"/>
      <c r="U356"/>
      <c r="V356"/>
      <c r="W356"/>
      <c r="X356"/>
      <c r="Y356"/>
      <c r="Z356"/>
      <c r="AA356"/>
      <c r="AB356"/>
      <c r="AC356"/>
      <c r="AD356"/>
      <c r="AE356"/>
      <c r="AF356"/>
      <c r="AG356"/>
      <c r="AH356"/>
      <c r="AI356"/>
      <c r="AJ356"/>
      <c r="AK356"/>
      <c r="AL356"/>
      <c r="AM356"/>
      <c r="AN356"/>
      <c r="AO356"/>
      <c r="AP356"/>
      <c r="AQ356"/>
      <c r="AR356"/>
      <c r="AS356"/>
      <c r="AT356"/>
      <c r="AU356"/>
      <c r="AV356"/>
      <c r="AW356"/>
      <c r="AX356"/>
      <c r="AY356"/>
      <c r="AZ356"/>
      <c r="BA356"/>
      <c r="BB356"/>
      <c r="BC356"/>
      <c r="BD356"/>
      <c r="BE356"/>
      <c r="BF356"/>
      <c r="BG356"/>
      <c r="BH356"/>
      <c r="BI356"/>
      <c r="BJ356"/>
      <c r="BK356"/>
      <c r="BL356"/>
      <c r="BM356"/>
      <c r="BN356"/>
      <c r="BO356"/>
      <c r="BP356"/>
      <c r="BQ356"/>
      <c r="BR356"/>
      <c r="BS356"/>
      <c r="BT356"/>
      <c r="BU356"/>
      <c r="BV356"/>
      <c r="BW356"/>
      <c r="BX356"/>
      <c r="BY356"/>
      <c r="BZ356"/>
      <c r="CA356"/>
      <c r="CB356"/>
      <c r="CC356"/>
      <c r="CD356"/>
      <c r="CE356"/>
      <c r="CF356"/>
      <c r="CG356"/>
      <c r="CH356"/>
      <c r="CI356"/>
      <c r="CJ356"/>
      <c r="CK356"/>
      <c r="CL356"/>
      <c r="CM356"/>
      <c r="CN356"/>
      <c r="CO356"/>
      <c r="CP356"/>
      <c r="CQ356"/>
      <c r="CR356"/>
      <c r="CS356"/>
      <c r="CT356"/>
      <c r="CU356"/>
      <c r="CV356"/>
      <c r="CW356"/>
      <c r="CX356"/>
      <c r="CY356"/>
      <c r="CZ356"/>
      <c r="DA356"/>
      <c r="DB356"/>
      <c r="DC356"/>
      <c r="DD356"/>
      <c r="DE356"/>
      <c r="DF356"/>
      <c r="DG356"/>
      <c r="DH356"/>
      <c r="DI356"/>
      <c r="DJ356"/>
      <c r="DK356"/>
      <c r="DL356"/>
      <c r="DM356"/>
      <c r="DN356"/>
      <c r="DO356"/>
      <c r="DP356"/>
      <c r="DQ356"/>
      <c r="DR356"/>
      <c r="DS356"/>
      <c r="DT356"/>
      <c r="DU356"/>
      <c r="DV356"/>
      <c r="DW356"/>
      <c r="DX356"/>
      <c r="DY356"/>
      <c r="DZ356"/>
      <c r="EA356"/>
      <c r="EB356"/>
      <c r="EC356"/>
      <c r="ED356"/>
      <c r="EE356"/>
      <c r="EF356"/>
      <c r="EG356"/>
      <c r="EH356" s="464"/>
      <c r="EI356" s="439"/>
      <c r="EJ356"/>
      <c r="EK356"/>
      <c r="EL356"/>
      <c r="EM356"/>
      <c r="EN356"/>
      <c r="EO356"/>
      <c r="EV356" s="439">
        <v>91</v>
      </c>
      <c r="EW356" t="s">
        <v>3030</v>
      </c>
      <c r="EX356" t="s">
        <v>901</v>
      </c>
      <c r="EY356" t="s">
        <v>3031</v>
      </c>
      <c r="EZ356" t="s">
        <v>54</v>
      </c>
      <c r="FA356">
        <v>55404</v>
      </c>
      <c r="FB356">
        <v>1881793750</v>
      </c>
    </row>
    <row r="357" spans="1:158" ht="15" x14ac:dyDescent="0.25">
      <c r="A357" s="439"/>
      <c r="B357"/>
      <c r="C357"/>
      <c r="D357"/>
      <c r="E357"/>
      <c r="F357"/>
      <c r="G357"/>
      <c r="H357"/>
      <c r="I357"/>
      <c r="J357"/>
      <c r="K357"/>
      <c r="L357"/>
      <c r="M357"/>
      <c r="N357"/>
      <c r="O357"/>
      <c r="P357"/>
      <c r="Q357"/>
      <c r="R357"/>
      <c r="S357"/>
      <c r="T357"/>
      <c r="U357"/>
      <c r="V357"/>
      <c r="W357"/>
      <c r="X357"/>
      <c r="Y357"/>
      <c r="Z357"/>
      <c r="AA357"/>
      <c r="AB357"/>
      <c r="AC357"/>
      <c r="AD357"/>
      <c r="AE357"/>
      <c r="AF357"/>
      <c r="AG357"/>
      <c r="AH357"/>
      <c r="AI357"/>
      <c r="AJ357"/>
      <c r="AK357"/>
      <c r="AL357"/>
      <c r="AM357"/>
      <c r="AN357"/>
      <c r="AO357"/>
      <c r="AP357"/>
      <c r="AQ357"/>
      <c r="AR357"/>
      <c r="AS357"/>
      <c r="AT357"/>
      <c r="AU357"/>
      <c r="AV357"/>
      <c r="AW357"/>
      <c r="AX357"/>
      <c r="AY357"/>
      <c r="AZ357"/>
      <c r="BA357"/>
      <c r="BB357"/>
      <c r="BC357"/>
      <c r="BD357"/>
      <c r="BE357"/>
      <c r="BF357"/>
      <c r="BG357"/>
      <c r="BH357"/>
      <c r="BI357"/>
      <c r="BJ357"/>
      <c r="BK357"/>
      <c r="BL357"/>
      <c r="BM357"/>
      <c r="BN357"/>
      <c r="BO357"/>
      <c r="BP357"/>
      <c r="BQ357"/>
      <c r="BR357"/>
      <c r="BS357"/>
      <c r="BT357"/>
      <c r="BU357"/>
      <c r="BV357"/>
      <c r="BW357"/>
      <c r="BX357"/>
      <c r="BY357"/>
      <c r="BZ357"/>
      <c r="CA357"/>
      <c r="CB357"/>
      <c r="CC357"/>
      <c r="CD357"/>
      <c r="CE357"/>
      <c r="CF357"/>
      <c r="CG357"/>
      <c r="CH357"/>
      <c r="CI357"/>
      <c r="CJ357"/>
      <c r="CK357"/>
      <c r="CL357"/>
      <c r="CM357"/>
      <c r="CN357"/>
      <c r="CO357"/>
      <c r="CP357"/>
      <c r="CQ357"/>
      <c r="CR357"/>
      <c r="CS357"/>
      <c r="CT357"/>
      <c r="CU357"/>
      <c r="CV357"/>
      <c r="CW357"/>
      <c r="CX357"/>
      <c r="CY357"/>
      <c r="CZ357"/>
      <c r="DA357"/>
      <c r="DB357"/>
      <c r="DC357"/>
      <c r="DD357"/>
      <c r="DE357"/>
      <c r="DF357"/>
      <c r="DG357"/>
      <c r="DH357"/>
      <c r="DI357"/>
      <c r="DJ357"/>
      <c r="DK357"/>
      <c r="DL357"/>
      <c r="DM357"/>
      <c r="DN357"/>
      <c r="DO357"/>
      <c r="DP357"/>
      <c r="DQ357"/>
      <c r="DR357"/>
      <c r="DS357"/>
      <c r="DT357"/>
      <c r="DU357"/>
      <c r="DV357"/>
      <c r="DW357"/>
      <c r="DX357"/>
      <c r="DY357"/>
      <c r="DZ357"/>
      <c r="EA357"/>
      <c r="EB357"/>
      <c r="EC357"/>
      <c r="ED357"/>
      <c r="EE357"/>
      <c r="EF357"/>
      <c r="EG357"/>
      <c r="EH357" s="464"/>
      <c r="EI357" s="439"/>
      <c r="EJ357"/>
      <c r="EK357"/>
      <c r="EL357"/>
      <c r="EM357"/>
      <c r="EN357"/>
      <c r="EO357"/>
      <c r="EV357" s="439">
        <v>411</v>
      </c>
      <c r="EW357" t="s">
        <v>3032</v>
      </c>
      <c r="EX357" t="s">
        <v>901</v>
      </c>
      <c r="EY357" t="s">
        <v>3033</v>
      </c>
      <c r="EZ357" t="s">
        <v>54</v>
      </c>
      <c r="FA357">
        <v>55407</v>
      </c>
      <c r="FB357">
        <v>1063019586</v>
      </c>
    </row>
    <row r="358" spans="1:158" ht="15" x14ac:dyDescent="0.25">
      <c r="A358" s="439"/>
      <c r="B358"/>
      <c r="C358"/>
      <c r="D358"/>
      <c r="E358"/>
      <c r="F358"/>
      <c r="G358"/>
      <c r="H358"/>
      <c r="I358"/>
      <c r="J358"/>
      <c r="K358"/>
      <c r="L358"/>
      <c r="M358"/>
      <c r="N358"/>
      <c r="O358"/>
      <c r="P358"/>
      <c r="Q358"/>
      <c r="R358"/>
      <c r="S358"/>
      <c r="T358"/>
      <c r="U358"/>
      <c r="V358"/>
      <c r="W358"/>
      <c r="X358"/>
      <c r="Y358"/>
      <c r="Z358"/>
      <c r="AA358"/>
      <c r="AB358"/>
      <c r="AC358"/>
      <c r="AD358"/>
      <c r="AE358"/>
      <c r="AF358"/>
      <c r="AG358"/>
      <c r="AH358"/>
      <c r="AI358"/>
      <c r="AJ358"/>
      <c r="AK358"/>
      <c r="AL358"/>
      <c r="AM358"/>
      <c r="AN358"/>
      <c r="AO358"/>
      <c r="AP358"/>
      <c r="AQ358"/>
      <c r="AR358"/>
      <c r="AS358"/>
      <c r="AT358"/>
      <c r="AU358"/>
      <c r="AV358"/>
      <c r="AW358"/>
      <c r="AX358"/>
      <c r="AY358"/>
      <c r="AZ358"/>
      <c r="BA358"/>
      <c r="BB358"/>
      <c r="BC358"/>
      <c r="BD358"/>
      <c r="BE358"/>
      <c r="BF358"/>
      <c r="BG358"/>
      <c r="BH358"/>
      <c r="BI358"/>
      <c r="BJ358"/>
      <c r="BK358"/>
      <c r="BL358"/>
      <c r="BM358"/>
      <c r="BN358"/>
      <c r="BO358"/>
      <c r="BP358"/>
      <c r="BQ358"/>
      <c r="BR358"/>
      <c r="BS358"/>
      <c r="BT358"/>
      <c r="BU358"/>
      <c r="BV358"/>
      <c r="BW358"/>
      <c r="BX358"/>
      <c r="BY358"/>
      <c r="BZ358"/>
      <c r="CA358"/>
      <c r="CB358"/>
      <c r="CC358"/>
      <c r="CD358"/>
      <c r="CE358"/>
      <c r="CF358"/>
      <c r="CG358"/>
      <c r="CH358"/>
      <c r="CI358"/>
      <c r="CJ358"/>
      <c r="CK358"/>
      <c r="CL358"/>
      <c r="CM358"/>
      <c r="CN358"/>
      <c r="CO358"/>
      <c r="CP358"/>
      <c r="CQ358"/>
      <c r="CR358"/>
      <c r="CS358"/>
      <c r="CT358"/>
      <c r="CU358"/>
      <c r="CV358"/>
      <c r="CW358"/>
      <c r="CX358"/>
      <c r="CY358"/>
      <c r="CZ358"/>
      <c r="DA358"/>
      <c r="DB358"/>
      <c r="DC358"/>
      <c r="DD358"/>
      <c r="DE358"/>
      <c r="DF358"/>
      <c r="DG358"/>
      <c r="DH358"/>
      <c r="DI358"/>
      <c r="DJ358"/>
      <c r="DK358"/>
      <c r="DL358"/>
      <c r="DM358"/>
      <c r="DN358"/>
      <c r="DO358"/>
      <c r="DP358"/>
      <c r="DQ358"/>
      <c r="DR358"/>
      <c r="DS358"/>
      <c r="DT358"/>
      <c r="DU358"/>
      <c r="DV358"/>
      <c r="DW358"/>
      <c r="DX358"/>
      <c r="DY358"/>
      <c r="DZ358"/>
      <c r="EA358"/>
      <c r="EB358"/>
      <c r="EC358"/>
      <c r="ED358"/>
      <c r="EE358"/>
      <c r="EF358"/>
      <c r="EG358"/>
      <c r="EH358" s="464"/>
      <c r="EI358" s="439"/>
      <c r="EJ358"/>
      <c r="EK358"/>
      <c r="EL358"/>
      <c r="EM358"/>
      <c r="EN358"/>
      <c r="EO358"/>
      <c r="EV358" s="439">
        <v>59</v>
      </c>
      <c r="EW358" t="s">
        <v>3034</v>
      </c>
      <c r="EX358" t="s">
        <v>901</v>
      </c>
      <c r="EY358" t="s">
        <v>3035</v>
      </c>
      <c r="EZ358" t="s">
        <v>54</v>
      </c>
      <c r="FA358">
        <v>55415</v>
      </c>
      <c r="FB358">
        <v>1407897309</v>
      </c>
    </row>
    <row r="359" spans="1:158" ht="15" x14ac:dyDescent="0.25">
      <c r="A359"/>
      <c r="B359"/>
      <c r="C359"/>
      <c r="D359"/>
      <c r="E359"/>
      <c r="F359"/>
      <c r="G359"/>
      <c r="H359"/>
      <c r="I359"/>
      <c r="J359"/>
      <c r="K359"/>
      <c r="L359"/>
      <c r="M359"/>
      <c r="N359"/>
      <c r="O359"/>
      <c r="P359"/>
      <c r="Q359"/>
      <c r="R359"/>
      <c r="S359"/>
      <c r="T359"/>
      <c r="U359"/>
      <c r="V359"/>
      <c r="W359"/>
      <c r="X359"/>
      <c r="Y359"/>
      <c r="Z359"/>
      <c r="AA359"/>
      <c r="AB359"/>
      <c r="AC359"/>
      <c r="AD359"/>
      <c r="AE359"/>
      <c r="AF359"/>
      <c r="AG359"/>
      <c r="AH359"/>
      <c r="AI359"/>
      <c r="AJ359"/>
      <c r="AK359"/>
      <c r="AL359"/>
      <c r="AM359"/>
      <c r="AN359"/>
      <c r="AO359"/>
      <c r="AP359"/>
      <c r="AQ359"/>
      <c r="AR359"/>
      <c r="AS359"/>
      <c r="AT359"/>
      <c r="AU359"/>
      <c r="AV359"/>
      <c r="AW359"/>
      <c r="AX359"/>
      <c r="AY359"/>
      <c r="AZ359"/>
      <c r="BA359"/>
      <c r="BB359"/>
      <c r="BC359"/>
      <c r="BD359"/>
      <c r="BE359"/>
      <c r="BF359"/>
      <c r="BG359"/>
      <c r="BH359"/>
      <c r="BI359"/>
      <c r="BJ359"/>
      <c r="BK359"/>
      <c r="BL359"/>
      <c r="BM359"/>
      <c r="BN359"/>
      <c r="BO359"/>
      <c r="BP359"/>
      <c r="BQ359"/>
      <c r="BR359"/>
      <c r="BS359"/>
      <c r="BT359"/>
      <c r="BU359"/>
      <c r="BV359"/>
      <c r="BW359"/>
      <c r="BX359"/>
      <c r="BY359"/>
      <c r="BZ359"/>
      <c r="CA359"/>
      <c r="CB359"/>
      <c r="CC359"/>
      <c r="CD359"/>
      <c r="CE359"/>
      <c r="CF359"/>
      <c r="CG359"/>
      <c r="CH359"/>
      <c r="CI359"/>
      <c r="CJ359"/>
      <c r="CK359"/>
      <c r="CL359"/>
      <c r="CM359"/>
      <c r="CN359"/>
      <c r="CO359"/>
      <c r="CP359"/>
      <c r="CQ359"/>
      <c r="CR359"/>
      <c r="CS359"/>
      <c r="CT359"/>
      <c r="CU359"/>
      <c r="CV359"/>
      <c r="CW359"/>
      <c r="CX359"/>
      <c r="CY359"/>
      <c r="CZ359"/>
      <c r="DA359"/>
      <c r="DB359"/>
      <c r="DC359"/>
      <c r="DD359"/>
      <c r="DE359"/>
      <c r="DF359"/>
      <c r="DG359"/>
      <c r="DH359"/>
      <c r="DI359"/>
      <c r="DJ359"/>
      <c r="DK359"/>
      <c r="DL359"/>
      <c r="DM359"/>
      <c r="DN359"/>
      <c r="DO359"/>
      <c r="DP359"/>
      <c r="DQ359"/>
      <c r="DR359"/>
      <c r="DS359"/>
      <c r="DT359"/>
      <c r="DU359"/>
      <c r="DV359"/>
      <c r="DW359"/>
      <c r="DX359"/>
      <c r="DY359"/>
      <c r="DZ359"/>
      <c r="EA359"/>
      <c r="EB359"/>
      <c r="EC359"/>
      <c r="ED359"/>
      <c r="EE359"/>
      <c r="EF359"/>
      <c r="EG359"/>
      <c r="EH359" s="464"/>
      <c r="EI359" s="439"/>
      <c r="EJ359"/>
      <c r="EK359"/>
      <c r="EL359"/>
      <c r="EM359"/>
      <c r="EN359"/>
      <c r="EO359"/>
      <c r="EV359" s="439">
        <v>1155</v>
      </c>
      <c r="EW359" t="s">
        <v>1907</v>
      </c>
      <c r="EX359" t="s">
        <v>901</v>
      </c>
      <c r="EY359" t="s">
        <v>1908</v>
      </c>
      <c r="EZ359" t="s">
        <v>54</v>
      </c>
      <c r="FA359">
        <v>55402</v>
      </c>
      <c r="FB359">
        <v>1922074434</v>
      </c>
    </row>
    <row r="360" spans="1:158" ht="15" x14ac:dyDescent="0.25">
      <c r="A360"/>
      <c r="B360"/>
      <c r="C360"/>
      <c r="D360"/>
      <c r="E360"/>
      <c r="F360"/>
      <c r="G360"/>
      <c r="H360"/>
      <c r="I360"/>
      <c r="J360"/>
      <c r="K360"/>
      <c r="L360"/>
      <c r="M360"/>
      <c r="N360"/>
      <c r="O360"/>
      <c r="P360"/>
      <c r="Q360"/>
      <c r="R360"/>
      <c r="S360"/>
      <c r="T360"/>
      <c r="U360"/>
      <c r="V360"/>
      <c r="W360"/>
      <c r="X360"/>
      <c r="Y360"/>
      <c r="Z360"/>
      <c r="AA360"/>
      <c r="AB360"/>
      <c r="AC360"/>
      <c r="AD360"/>
      <c r="AE360"/>
      <c r="AF360"/>
      <c r="AG360"/>
      <c r="AH360"/>
      <c r="AI360"/>
      <c r="AJ360"/>
      <c r="AK360"/>
      <c r="AL360"/>
      <c r="AM360"/>
      <c r="AN360"/>
      <c r="AO360"/>
      <c r="AP360"/>
      <c r="AQ360"/>
      <c r="AR360"/>
      <c r="AS360"/>
      <c r="AT360"/>
      <c r="AU360"/>
      <c r="AV360"/>
      <c r="AW360"/>
      <c r="AX360"/>
      <c r="AY360"/>
      <c r="AZ360"/>
      <c r="BA360"/>
      <c r="BB360"/>
      <c r="BC360"/>
      <c r="BD360"/>
      <c r="BE360"/>
      <c r="BF360"/>
      <c r="BG360"/>
      <c r="BH360"/>
      <c r="BI360"/>
      <c r="BJ360"/>
      <c r="BK360"/>
      <c r="BL360"/>
      <c r="BM360"/>
      <c r="BN360"/>
      <c r="BO360"/>
      <c r="BP360"/>
      <c r="BQ360"/>
      <c r="BR360"/>
      <c r="BS360"/>
      <c r="BT360"/>
      <c r="BU360"/>
      <c r="BV360"/>
      <c r="BW360"/>
      <c r="BX360"/>
      <c r="BY360"/>
      <c r="BZ360"/>
      <c r="CA360"/>
      <c r="CB360"/>
      <c r="CC360"/>
      <c r="CD360"/>
      <c r="CE360"/>
      <c r="CF360"/>
      <c r="CG360"/>
      <c r="CH360"/>
      <c r="CI360"/>
      <c r="CJ360"/>
      <c r="CK360"/>
      <c r="CL360"/>
      <c r="CM360"/>
      <c r="CN360"/>
      <c r="CO360"/>
      <c r="CP360"/>
      <c r="CQ360"/>
      <c r="CR360"/>
      <c r="CS360"/>
      <c r="CT360"/>
      <c r="CU360"/>
      <c r="CV360"/>
      <c r="CW360"/>
      <c r="CX360"/>
      <c r="CY360"/>
      <c r="CZ360"/>
      <c r="DA360"/>
      <c r="DB360"/>
      <c r="DC360"/>
      <c r="DD360"/>
      <c r="DE360"/>
      <c r="DF360"/>
      <c r="DG360"/>
      <c r="DH360"/>
      <c r="DI360"/>
      <c r="DJ360"/>
      <c r="DK360"/>
      <c r="DL360"/>
      <c r="DM360"/>
      <c r="DN360"/>
      <c r="DO360"/>
      <c r="DP360"/>
      <c r="DQ360"/>
      <c r="DR360"/>
      <c r="DS360"/>
      <c r="DT360"/>
      <c r="DU360"/>
      <c r="DV360"/>
      <c r="DW360"/>
      <c r="DX360"/>
      <c r="DY360"/>
      <c r="DZ360"/>
      <c r="EA360"/>
      <c r="EB360"/>
      <c r="EC360"/>
      <c r="ED360"/>
      <c r="EE360"/>
      <c r="EF360"/>
      <c r="EG360"/>
      <c r="EH360" s="464"/>
      <c r="EI360" s="439"/>
      <c r="EJ360"/>
      <c r="EK360"/>
      <c r="EL360"/>
      <c r="EM360"/>
      <c r="EN360"/>
      <c r="EO360"/>
      <c r="EV360" s="439">
        <v>185</v>
      </c>
      <c r="EW360" t="s">
        <v>3036</v>
      </c>
      <c r="EX360" t="s">
        <v>901</v>
      </c>
      <c r="EY360" t="s">
        <v>3037</v>
      </c>
      <c r="EZ360" t="s">
        <v>54</v>
      </c>
      <c r="FA360">
        <v>55454</v>
      </c>
      <c r="FB360">
        <v>1013994359</v>
      </c>
    </row>
    <row r="361" spans="1:158" ht="15" x14ac:dyDescent="0.25">
      <c r="DE361" s="489"/>
      <c r="DF361" s="489"/>
      <c r="DG361" s="489"/>
      <c r="DH361" s="431"/>
      <c r="DI361" s="431"/>
      <c r="DJ361" s="431"/>
      <c r="DK361" s="431"/>
      <c r="DL361" s="431"/>
      <c r="DM361" s="431"/>
      <c r="DN361" s="18"/>
      <c r="DO361" s="431"/>
      <c r="EH361" s="464"/>
      <c r="EI361" s="439"/>
      <c r="EJ361"/>
      <c r="EK361"/>
      <c r="EL361"/>
      <c r="EM361"/>
      <c r="EN361"/>
      <c r="EO361"/>
      <c r="EV361" s="439">
        <v>1319</v>
      </c>
      <c r="EW361" t="s">
        <v>3038</v>
      </c>
      <c r="EX361" t="s">
        <v>901</v>
      </c>
      <c r="EY361" t="s">
        <v>3039</v>
      </c>
      <c r="EZ361" t="s">
        <v>54</v>
      </c>
      <c r="FA361">
        <v>55455</v>
      </c>
      <c r="FB361"/>
    </row>
    <row r="362" spans="1:158" ht="15" x14ac:dyDescent="0.25">
      <c r="DE362" s="489"/>
      <c r="DF362" s="489"/>
      <c r="DG362" s="489"/>
      <c r="DH362" s="431"/>
      <c r="DI362" s="431"/>
      <c r="DJ362" s="431"/>
      <c r="DK362" s="431"/>
      <c r="DL362" s="431"/>
      <c r="DM362" s="431"/>
      <c r="DN362" s="18"/>
      <c r="DO362" s="431"/>
      <c r="EH362" s="464"/>
      <c r="EI362" s="439"/>
      <c r="EJ362"/>
      <c r="EK362"/>
      <c r="EL362"/>
      <c r="EM362"/>
      <c r="EN362"/>
      <c r="EO362"/>
      <c r="EV362" s="439">
        <v>184</v>
      </c>
      <c r="EW362" t="s">
        <v>3040</v>
      </c>
      <c r="EX362" t="s">
        <v>901</v>
      </c>
      <c r="EY362" t="s">
        <v>3041</v>
      </c>
      <c r="EZ362" t="s">
        <v>54</v>
      </c>
      <c r="FA362">
        <v>55404</v>
      </c>
      <c r="FB362">
        <v>1457319527</v>
      </c>
    </row>
    <row r="363" spans="1:158" ht="15" x14ac:dyDescent="0.25">
      <c r="DE363" s="489"/>
      <c r="DF363" s="489"/>
      <c r="DG363" s="489"/>
      <c r="DH363" s="431"/>
      <c r="DI363" s="431"/>
      <c r="DJ363" s="431"/>
      <c r="DK363" s="431"/>
      <c r="DL363" s="431"/>
      <c r="DM363" s="431"/>
      <c r="DN363" s="18"/>
      <c r="DO363" s="431"/>
      <c r="EH363" s="464"/>
      <c r="EI363" s="439"/>
      <c r="EJ363"/>
      <c r="EK363"/>
      <c r="EL363"/>
      <c r="EM363"/>
      <c r="EN363"/>
      <c r="EO363"/>
      <c r="EV363" s="439">
        <v>819</v>
      </c>
      <c r="EW363" t="s">
        <v>2212</v>
      </c>
      <c r="EX363" t="s">
        <v>901</v>
      </c>
      <c r="EY363" t="s">
        <v>2213</v>
      </c>
      <c r="EZ363" t="s">
        <v>54</v>
      </c>
      <c r="FA363">
        <v>55414</v>
      </c>
      <c r="FB363"/>
    </row>
    <row r="364" spans="1:158" ht="15" x14ac:dyDescent="0.25">
      <c r="DE364" s="489"/>
      <c r="DF364" s="489"/>
      <c r="DG364" s="489"/>
      <c r="DH364" s="431"/>
      <c r="DI364" s="431"/>
      <c r="DJ364" s="431"/>
      <c r="DK364" s="431"/>
      <c r="DL364" s="431"/>
      <c r="DM364" s="431"/>
      <c r="DN364" s="18"/>
      <c r="DO364" s="431"/>
      <c r="EH364" s="464"/>
      <c r="EI364" s="439"/>
      <c r="EJ364"/>
      <c r="EK364"/>
      <c r="EL364"/>
      <c r="EM364"/>
      <c r="EN364"/>
      <c r="EO364"/>
      <c r="EV364" s="439">
        <v>912</v>
      </c>
      <c r="EW364" t="s">
        <v>3042</v>
      </c>
      <c r="EX364" t="s">
        <v>901</v>
      </c>
      <c r="EY364" t="s">
        <v>3043</v>
      </c>
      <c r="EZ364" t="s">
        <v>54</v>
      </c>
      <c r="FA364"/>
      <c r="FB364"/>
    </row>
    <row r="365" spans="1:158" ht="15" x14ac:dyDescent="0.25">
      <c r="DE365" s="489"/>
      <c r="DF365" s="489"/>
      <c r="DG365" s="489"/>
      <c r="DH365" s="431"/>
      <c r="DI365" s="431"/>
      <c r="DJ365" s="431"/>
      <c r="DK365" s="431"/>
      <c r="DL365" s="431"/>
      <c r="DM365" s="431"/>
      <c r="DN365" s="18"/>
      <c r="DO365" s="431"/>
      <c r="EH365" s="464"/>
      <c r="EI365" s="439"/>
      <c r="EJ365"/>
      <c r="EK365"/>
      <c r="EL365"/>
      <c r="EM365"/>
      <c r="EN365"/>
      <c r="EO365"/>
      <c r="EV365" s="439">
        <v>1000</v>
      </c>
      <c r="EW365" t="s">
        <v>3044</v>
      </c>
      <c r="EX365" t="s">
        <v>901</v>
      </c>
      <c r="EY365" t="s">
        <v>3043</v>
      </c>
      <c r="EZ365" t="s">
        <v>54</v>
      </c>
      <c r="FA365">
        <v>55455</v>
      </c>
      <c r="FB365"/>
    </row>
    <row r="366" spans="1:158" ht="15" x14ac:dyDescent="0.25">
      <c r="DE366" s="489"/>
      <c r="DF366" s="489"/>
      <c r="DG366" s="489"/>
      <c r="DH366" s="431"/>
      <c r="DI366" s="431"/>
      <c r="DJ366" s="431"/>
      <c r="DK366" s="431"/>
      <c r="DL366" s="431"/>
      <c r="DM366" s="431"/>
      <c r="DN366" s="18"/>
      <c r="DO366" s="431"/>
      <c r="EH366" s="464"/>
      <c r="EI366" s="439"/>
      <c r="EJ366"/>
      <c r="EK366"/>
      <c r="EL366"/>
      <c r="EM366"/>
      <c r="EN366"/>
      <c r="EO366"/>
      <c r="EV366" s="439">
        <v>1944</v>
      </c>
      <c r="EW366" t="s">
        <v>3045</v>
      </c>
      <c r="EX366" t="s">
        <v>901</v>
      </c>
      <c r="EY366" t="s">
        <v>3046</v>
      </c>
      <c r="EZ366" t="s">
        <v>54</v>
      </c>
      <c r="FA366">
        <v>55455</v>
      </c>
      <c r="FB366"/>
    </row>
    <row r="367" spans="1:158" ht="15" x14ac:dyDescent="0.25">
      <c r="DE367" s="489"/>
      <c r="DF367" s="489"/>
      <c r="DG367" s="489"/>
      <c r="DH367" s="431"/>
      <c r="DI367" s="431"/>
      <c r="DJ367" s="431"/>
      <c r="DK367" s="431"/>
      <c r="DL367" s="431"/>
      <c r="DM367" s="431"/>
      <c r="DN367" s="18"/>
      <c r="DO367" s="431"/>
      <c r="EH367" s="464"/>
      <c r="EI367" s="439"/>
      <c r="EJ367"/>
      <c r="EK367"/>
      <c r="EL367"/>
      <c r="EM367"/>
      <c r="EN367"/>
      <c r="EO367"/>
      <c r="EV367" s="439">
        <v>572</v>
      </c>
      <c r="EW367" t="s">
        <v>3047</v>
      </c>
      <c r="EX367" t="s">
        <v>901</v>
      </c>
      <c r="EY367" t="s">
        <v>1085</v>
      </c>
      <c r="EZ367" t="s">
        <v>54</v>
      </c>
      <c r="FA367">
        <v>55455</v>
      </c>
      <c r="FB367"/>
    </row>
    <row r="368" spans="1:158" ht="15" x14ac:dyDescent="0.25">
      <c r="DE368" s="489"/>
      <c r="DF368" s="489"/>
      <c r="DG368" s="489"/>
      <c r="DH368" s="431"/>
      <c r="DI368" s="431"/>
      <c r="DJ368" s="431"/>
      <c r="DK368" s="431"/>
      <c r="DL368" s="431"/>
      <c r="DM368" s="431"/>
      <c r="DN368" s="18"/>
      <c r="DO368" s="434"/>
      <c r="EH368" s="464"/>
      <c r="EI368" s="439"/>
      <c r="EJ368"/>
      <c r="EK368"/>
      <c r="EL368"/>
      <c r="EM368"/>
      <c r="EN368"/>
      <c r="EO368"/>
      <c r="EV368" s="439">
        <v>703</v>
      </c>
      <c r="EW368" t="s">
        <v>3048</v>
      </c>
      <c r="EX368" t="s">
        <v>901</v>
      </c>
      <c r="EY368" t="s">
        <v>3049</v>
      </c>
      <c r="EZ368" t="s">
        <v>54</v>
      </c>
      <c r="FA368"/>
      <c r="FB368"/>
    </row>
    <row r="369" spans="109:158" ht="15" x14ac:dyDescent="0.25">
      <c r="DE369" s="489"/>
      <c r="DF369" s="489"/>
      <c r="DG369" s="489"/>
      <c r="DH369" s="431"/>
      <c r="DI369" s="431"/>
      <c r="DJ369" s="431"/>
      <c r="DK369" s="431"/>
      <c r="DL369" s="431"/>
      <c r="DM369" s="431"/>
      <c r="DN369" s="18"/>
      <c r="DO369" s="434"/>
      <c r="EH369" s="464"/>
      <c r="EI369" s="439"/>
      <c r="EJ369"/>
      <c r="EK369"/>
      <c r="EL369"/>
      <c r="EM369"/>
      <c r="EN369"/>
      <c r="EO369"/>
      <c r="EV369" s="439">
        <v>1225</v>
      </c>
      <c r="EW369" t="s">
        <v>2627</v>
      </c>
      <c r="EX369" t="s">
        <v>901</v>
      </c>
      <c r="EY369" t="s">
        <v>2628</v>
      </c>
      <c r="EZ369" t="s">
        <v>54</v>
      </c>
      <c r="FA369">
        <v>55455</v>
      </c>
      <c r="FB369">
        <v>1639553779</v>
      </c>
    </row>
    <row r="370" spans="109:158" ht="15" x14ac:dyDescent="0.25">
      <c r="DE370" s="489"/>
      <c r="DF370" s="489"/>
      <c r="DG370" s="489"/>
      <c r="DH370" s="431"/>
      <c r="DI370" s="431"/>
      <c r="DJ370" s="431"/>
      <c r="DK370" s="431"/>
      <c r="DL370" s="431"/>
      <c r="DM370" s="431"/>
      <c r="DN370" s="18"/>
      <c r="DO370" s="434"/>
      <c r="EH370" s="464"/>
      <c r="EI370" s="439"/>
      <c r="EJ370"/>
      <c r="EK370"/>
      <c r="EL370"/>
      <c r="EM370"/>
      <c r="EN370"/>
      <c r="EO370"/>
      <c r="EV370" s="439">
        <v>393</v>
      </c>
      <c r="EW370" t="s">
        <v>2627</v>
      </c>
      <c r="EX370" t="s">
        <v>901</v>
      </c>
      <c r="EY370" t="s">
        <v>2628</v>
      </c>
      <c r="EZ370" t="s">
        <v>54</v>
      </c>
      <c r="FA370">
        <v>55455</v>
      </c>
      <c r="FB370">
        <v>1639553779</v>
      </c>
    </row>
    <row r="371" spans="109:158" ht="15" x14ac:dyDescent="0.25">
      <c r="DE371" s="489"/>
      <c r="DF371" s="489"/>
      <c r="DG371" s="489"/>
      <c r="DH371" s="431"/>
      <c r="DI371" s="431"/>
      <c r="DJ371" s="431"/>
      <c r="DK371" s="431"/>
      <c r="DL371" s="431"/>
      <c r="DM371" s="431"/>
      <c r="DN371" s="18"/>
      <c r="EH371" s="464"/>
      <c r="EI371" s="439"/>
      <c r="EJ371"/>
      <c r="EK371"/>
      <c r="EL371"/>
      <c r="EM371"/>
      <c r="EN371"/>
      <c r="EO371"/>
      <c r="EV371" s="439">
        <v>211</v>
      </c>
      <c r="EW371" t="s">
        <v>3050</v>
      </c>
      <c r="EX371" t="s">
        <v>901</v>
      </c>
      <c r="EY371" t="s">
        <v>3051</v>
      </c>
      <c r="EZ371" t="s">
        <v>54</v>
      </c>
      <c r="FA371">
        <v>55417</v>
      </c>
      <c r="FB371">
        <v>1073627931</v>
      </c>
    </row>
    <row r="372" spans="109:158" ht="15" x14ac:dyDescent="0.25">
      <c r="DE372" s="489"/>
      <c r="DF372" s="489"/>
      <c r="DG372" s="489"/>
      <c r="DH372" s="431"/>
      <c r="DI372" s="431"/>
      <c r="DJ372" s="431"/>
      <c r="DK372" s="431"/>
      <c r="DL372" s="431"/>
      <c r="DM372" s="431"/>
      <c r="DN372" s="18"/>
      <c r="EH372" s="464"/>
      <c r="EI372" s="439"/>
      <c r="EJ372"/>
      <c r="EK372"/>
      <c r="EL372"/>
      <c r="EM372"/>
      <c r="EN372"/>
      <c r="EO372"/>
      <c r="EV372" s="439">
        <v>1429</v>
      </c>
      <c r="EW372" t="s">
        <v>734</v>
      </c>
      <c r="EX372" t="s">
        <v>735</v>
      </c>
      <c r="EY372" t="s">
        <v>736</v>
      </c>
      <c r="EZ372" t="s">
        <v>54</v>
      </c>
      <c r="FA372">
        <v>55305</v>
      </c>
      <c r="FB372">
        <v>1619994696</v>
      </c>
    </row>
    <row r="373" spans="109:158" ht="15" x14ac:dyDescent="0.25">
      <c r="DE373" s="489"/>
      <c r="DF373" s="489"/>
      <c r="DG373" s="489"/>
      <c r="DH373" s="431"/>
      <c r="DI373" s="431"/>
      <c r="DJ373" s="431"/>
      <c r="DK373" s="431"/>
      <c r="DL373" s="431"/>
      <c r="DM373" s="431"/>
      <c r="DN373" s="18"/>
      <c r="EH373" s="464"/>
      <c r="EI373" s="439"/>
      <c r="EJ373"/>
      <c r="EK373"/>
      <c r="EL373"/>
      <c r="EM373"/>
      <c r="EN373"/>
      <c r="EO373"/>
      <c r="EV373" s="439">
        <v>300</v>
      </c>
      <c r="EW373" t="s">
        <v>1422</v>
      </c>
      <c r="EX373" t="s">
        <v>735</v>
      </c>
      <c r="EY373" t="s">
        <v>1423</v>
      </c>
      <c r="EZ373" t="s">
        <v>54</v>
      </c>
      <c r="FA373">
        <v>55343</v>
      </c>
      <c r="FB373">
        <v>1952405284</v>
      </c>
    </row>
    <row r="374" spans="109:158" ht="15" x14ac:dyDescent="0.25">
      <c r="DE374" s="489"/>
      <c r="DF374" s="489"/>
      <c r="DG374" s="489"/>
      <c r="DH374" s="431"/>
      <c r="DI374" s="431"/>
      <c r="DJ374" s="431"/>
      <c r="DK374" s="431"/>
      <c r="DL374" s="431"/>
      <c r="DM374" s="431"/>
      <c r="DN374" s="18"/>
      <c r="EH374" s="464"/>
      <c r="EI374" s="439"/>
      <c r="EJ374"/>
      <c r="EK374"/>
      <c r="EL374"/>
      <c r="EM374"/>
      <c r="EN374"/>
      <c r="EO374"/>
      <c r="EV374" s="439">
        <v>1198</v>
      </c>
      <c r="EW374" t="s">
        <v>3052</v>
      </c>
      <c r="EX374" t="s">
        <v>735</v>
      </c>
      <c r="EY374" t="s">
        <v>3053</v>
      </c>
      <c r="EZ374" t="s">
        <v>54</v>
      </c>
      <c r="FA374">
        <v>55343</v>
      </c>
      <c r="FB374"/>
    </row>
    <row r="375" spans="109:158" ht="15" x14ac:dyDescent="0.25">
      <c r="DE375" s="489"/>
      <c r="DF375" s="489"/>
      <c r="DG375" s="489"/>
      <c r="DH375" s="431"/>
      <c r="DI375" s="431"/>
      <c r="DJ375" s="431"/>
      <c r="DK375" s="431"/>
      <c r="DL375" s="431"/>
      <c r="DM375" s="431"/>
      <c r="DN375" s="18"/>
      <c r="EH375" s="466"/>
      <c r="EI375" s="439"/>
      <c r="EJ375"/>
      <c r="EK375"/>
      <c r="EL375"/>
      <c r="EM375"/>
      <c r="EN375"/>
      <c r="EO375"/>
      <c r="EV375" s="439">
        <v>383</v>
      </c>
      <c r="EW375" t="s">
        <v>3054</v>
      </c>
      <c r="EX375" t="s">
        <v>735</v>
      </c>
      <c r="EY375" t="s">
        <v>3055</v>
      </c>
      <c r="EZ375" t="s">
        <v>54</v>
      </c>
      <c r="FA375">
        <v>55305</v>
      </c>
      <c r="FB375">
        <v>1316379647</v>
      </c>
    </row>
    <row r="376" spans="109:158" ht="15" x14ac:dyDescent="0.25">
      <c r="DE376" s="489"/>
      <c r="DF376" s="489"/>
      <c r="DG376" s="489"/>
      <c r="DH376" s="431"/>
      <c r="DI376" s="431"/>
      <c r="DJ376" s="431"/>
      <c r="DK376" s="431"/>
      <c r="DL376" s="431"/>
      <c r="DM376" s="431"/>
      <c r="DN376" s="18"/>
      <c r="EH376" s="464"/>
      <c r="EI376" s="439"/>
      <c r="EJ376"/>
      <c r="EK376"/>
      <c r="EL376"/>
      <c r="EM376"/>
      <c r="EN376"/>
      <c r="EO376"/>
      <c r="EV376" s="439">
        <v>391</v>
      </c>
      <c r="EW376" t="s">
        <v>3056</v>
      </c>
      <c r="EX376" t="s">
        <v>735</v>
      </c>
      <c r="EY376" t="s">
        <v>2078</v>
      </c>
      <c r="EZ376" t="s">
        <v>54</v>
      </c>
      <c r="FA376">
        <v>55345</v>
      </c>
      <c r="FB376">
        <v>1336538297</v>
      </c>
    </row>
    <row r="377" spans="109:158" ht="15" x14ac:dyDescent="0.25">
      <c r="DE377" s="489"/>
      <c r="DF377" s="489"/>
      <c r="DG377" s="489"/>
      <c r="DH377" s="431"/>
      <c r="DI377" s="431"/>
      <c r="DJ377" s="431"/>
      <c r="DK377" s="431"/>
      <c r="DL377" s="431"/>
      <c r="DM377" s="431"/>
      <c r="DN377" s="18"/>
      <c r="EH377" s="464"/>
      <c r="EI377" s="439"/>
      <c r="EJ377"/>
      <c r="EK377"/>
      <c r="EL377"/>
      <c r="EM377"/>
      <c r="EN377"/>
      <c r="EO377"/>
      <c r="EV377" s="439">
        <v>1256</v>
      </c>
      <c r="EW377" t="s">
        <v>2077</v>
      </c>
      <c r="EX377" t="s">
        <v>735</v>
      </c>
      <c r="EY377" t="s">
        <v>2078</v>
      </c>
      <c r="EZ377" t="s">
        <v>54</v>
      </c>
      <c r="FA377">
        <v>55345</v>
      </c>
      <c r="FB377">
        <v>1952732729</v>
      </c>
    </row>
    <row r="378" spans="109:158" ht="15" x14ac:dyDescent="0.25">
      <c r="DE378" s="489"/>
      <c r="DF378" s="489"/>
      <c r="DG378" s="489"/>
      <c r="DH378" s="431"/>
      <c r="DI378" s="431"/>
      <c r="DJ378" s="431"/>
      <c r="DK378" s="431"/>
      <c r="DL378" s="431"/>
      <c r="DM378" s="431"/>
      <c r="DN378" s="18"/>
      <c r="EH378" s="464"/>
      <c r="EI378" s="439"/>
      <c r="EJ378"/>
      <c r="EK378"/>
      <c r="EL378"/>
      <c r="EM378"/>
      <c r="EN378"/>
      <c r="EO378"/>
      <c r="EV378" s="439">
        <v>17</v>
      </c>
      <c r="EW378" t="s">
        <v>3057</v>
      </c>
      <c r="EX378" t="s">
        <v>1230</v>
      </c>
      <c r="EY378" t="s">
        <v>3058</v>
      </c>
      <c r="EZ378" t="s">
        <v>54</v>
      </c>
      <c r="FA378">
        <v>56265</v>
      </c>
      <c r="FB378">
        <v>1720086028</v>
      </c>
    </row>
    <row r="379" spans="109:158" ht="15" x14ac:dyDescent="0.25">
      <c r="DE379" s="489"/>
      <c r="DF379" s="489"/>
      <c r="DG379" s="489"/>
      <c r="DH379" s="431"/>
      <c r="DI379" s="431"/>
      <c r="DJ379" s="431"/>
      <c r="DK379" s="431"/>
      <c r="DL379" s="431"/>
      <c r="DM379" s="431"/>
      <c r="DN379" s="18"/>
      <c r="EH379" s="464"/>
      <c r="EI379" s="439"/>
      <c r="EJ379"/>
      <c r="EK379"/>
      <c r="EL379"/>
      <c r="EM379"/>
      <c r="EN379"/>
      <c r="EO379"/>
      <c r="EV379" s="439">
        <v>1135</v>
      </c>
      <c r="EW379" t="s">
        <v>1229</v>
      </c>
      <c r="EX379" t="s">
        <v>1230</v>
      </c>
      <c r="EY379" t="s">
        <v>1231</v>
      </c>
      <c r="EZ379" t="s">
        <v>54</v>
      </c>
      <c r="FA379">
        <v>56265</v>
      </c>
      <c r="FB379"/>
    </row>
    <row r="380" spans="109:158" ht="15" x14ac:dyDescent="0.25">
      <c r="DE380" s="489"/>
      <c r="DF380" s="489"/>
      <c r="DG380" s="489"/>
      <c r="DH380" s="431"/>
      <c r="DI380" s="431"/>
      <c r="DJ380" s="431"/>
      <c r="DK380" s="431"/>
      <c r="DL380" s="431"/>
      <c r="DM380" s="431"/>
      <c r="DN380" s="18"/>
      <c r="EH380" s="464"/>
      <c r="EI380" s="439"/>
      <c r="EJ380"/>
      <c r="EK380"/>
      <c r="EL380"/>
      <c r="EM380"/>
      <c r="EN380"/>
      <c r="EO380"/>
      <c r="EV380" s="439">
        <v>94</v>
      </c>
      <c r="EW380" t="s">
        <v>3059</v>
      </c>
      <c r="EX380" t="s">
        <v>1241</v>
      </c>
      <c r="EY380" t="s">
        <v>1242</v>
      </c>
      <c r="EZ380" t="s">
        <v>54</v>
      </c>
      <c r="FA380">
        <v>55362</v>
      </c>
      <c r="FB380">
        <v>1275872772</v>
      </c>
    </row>
    <row r="381" spans="109:158" ht="15" x14ac:dyDescent="0.25">
      <c r="DE381" s="489"/>
      <c r="DF381" s="489"/>
      <c r="DG381" s="489"/>
      <c r="DH381" s="431"/>
      <c r="DI381" s="431"/>
      <c r="DJ381" s="431"/>
      <c r="DK381" s="431"/>
      <c r="DL381" s="431"/>
      <c r="DM381" s="431"/>
      <c r="DN381" s="18"/>
      <c r="EH381" s="464"/>
      <c r="EI381" s="439"/>
      <c r="EJ381"/>
      <c r="EK381"/>
      <c r="EL381"/>
      <c r="EM381"/>
      <c r="EN381"/>
      <c r="EO381"/>
      <c r="EV381" s="439">
        <v>848</v>
      </c>
      <c r="EW381" t="s">
        <v>1240</v>
      </c>
      <c r="EX381" t="s">
        <v>1241</v>
      </c>
      <c r="EY381" t="s">
        <v>1242</v>
      </c>
      <c r="EZ381" t="s">
        <v>54</v>
      </c>
      <c r="FA381">
        <v>55362</v>
      </c>
      <c r="FB381"/>
    </row>
    <row r="382" spans="109:158" ht="15" x14ac:dyDescent="0.25">
      <c r="DE382" s="489"/>
      <c r="DF382" s="489"/>
      <c r="DG382" s="489"/>
      <c r="DH382" s="431"/>
      <c r="DI382" s="431"/>
      <c r="DJ382" s="431"/>
      <c r="DK382" s="431"/>
      <c r="DL382" s="431"/>
      <c r="DM382" s="431"/>
      <c r="DN382" s="18"/>
      <c r="EH382" s="464"/>
      <c r="EI382" s="439"/>
      <c r="EJ382"/>
      <c r="EK382"/>
      <c r="EL382"/>
      <c r="EM382"/>
      <c r="EN382"/>
      <c r="EO382"/>
      <c r="EV382" s="439">
        <v>1329</v>
      </c>
      <c r="EW382" t="s">
        <v>1416</v>
      </c>
      <c r="EX382" t="s">
        <v>1241</v>
      </c>
      <c r="EY382" t="s">
        <v>1417</v>
      </c>
      <c r="EZ382" t="s">
        <v>54</v>
      </c>
      <c r="FA382">
        <v>55362</v>
      </c>
      <c r="FB382">
        <v>1598710477</v>
      </c>
    </row>
    <row r="383" spans="109:158" ht="15" x14ac:dyDescent="0.25">
      <c r="DE383" s="489"/>
      <c r="DF383" s="489"/>
      <c r="DG383" s="489"/>
      <c r="DH383" s="431"/>
      <c r="DI383" s="431"/>
      <c r="DJ383" s="431"/>
      <c r="DK383" s="431"/>
      <c r="DL383" s="431"/>
      <c r="DM383" s="431"/>
      <c r="DN383" s="18"/>
      <c r="EH383" s="464"/>
      <c r="EI383" s="439"/>
      <c r="EJ383"/>
      <c r="EK383"/>
      <c r="EL383"/>
      <c r="EM383"/>
      <c r="EN383"/>
      <c r="EO383"/>
      <c r="EV383" s="439">
        <v>915</v>
      </c>
      <c r="EW383" t="s">
        <v>3060</v>
      </c>
      <c r="EX383" t="s">
        <v>1241</v>
      </c>
      <c r="EY383" t="s">
        <v>3061</v>
      </c>
      <c r="EZ383" t="s">
        <v>54</v>
      </c>
      <c r="FA383"/>
      <c r="FB383"/>
    </row>
    <row r="384" spans="109:158" ht="15" x14ac:dyDescent="0.25">
      <c r="DE384" s="489"/>
      <c r="DF384" s="489"/>
      <c r="DG384" s="489"/>
      <c r="DH384" s="431"/>
      <c r="DI384" s="431"/>
      <c r="DJ384" s="431"/>
      <c r="DK384" s="431"/>
      <c r="DL384" s="431"/>
      <c r="DM384" s="431"/>
      <c r="DN384" s="18"/>
      <c r="EH384" s="464"/>
      <c r="EI384" s="439"/>
      <c r="EJ384"/>
      <c r="EK384"/>
      <c r="EL384"/>
      <c r="EM384"/>
      <c r="EN384"/>
      <c r="EO384"/>
      <c r="EV384" s="439">
        <v>849</v>
      </c>
      <c r="EW384" t="s">
        <v>1321</v>
      </c>
      <c r="EX384" t="s">
        <v>1322</v>
      </c>
      <c r="EY384" t="s">
        <v>1323</v>
      </c>
      <c r="EZ384" t="s">
        <v>54</v>
      </c>
      <c r="FA384">
        <v>55767</v>
      </c>
      <c r="FB384"/>
    </row>
    <row r="385" spans="109:158" ht="15" x14ac:dyDescent="0.25">
      <c r="DE385" s="489"/>
      <c r="DF385" s="489"/>
      <c r="DG385" s="489"/>
      <c r="DH385" s="431"/>
      <c r="DI385" s="431"/>
      <c r="DJ385" s="431"/>
      <c r="DK385" s="431"/>
      <c r="DL385" s="431"/>
      <c r="DM385" s="431"/>
      <c r="DN385" s="18"/>
      <c r="EH385" s="464"/>
      <c r="EI385" s="439"/>
      <c r="EJ385"/>
      <c r="EK385"/>
      <c r="EL385"/>
      <c r="EM385"/>
      <c r="EN385"/>
      <c r="EO385"/>
      <c r="EV385" s="439">
        <v>83</v>
      </c>
      <c r="EW385" t="s">
        <v>3062</v>
      </c>
      <c r="EX385" t="s">
        <v>1322</v>
      </c>
      <c r="EY385" t="s">
        <v>3063</v>
      </c>
      <c r="EZ385" t="s">
        <v>54</v>
      </c>
      <c r="FA385">
        <v>55767</v>
      </c>
      <c r="FB385">
        <v>1942398029</v>
      </c>
    </row>
    <row r="386" spans="109:158" ht="15" x14ac:dyDescent="0.25">
      <c r="DE386" s="489"/>
      <c r="DF386" s="489"/>
      <c r="DG386" s="489"/>
      <c r="DH386" s="431"/>
      <c r="DI386" s="431"/>
      <c r="DJ386" s="431"/>
      <c r="DK386" s="431"/>
      <c r="DL386" s="431"/>
      <c r="DM386" s="431"/>
      <c r="DN386" s="18"/>
      <c r="EH386" s="464"/>
      <c r="EI386" s="439"/>
      <c r="EJ386"/>
      <c r="EK386"/>
      <c r="EL386"/>
      <c r="EM386"/>
      <c r="EN386"/>
      <c r="EO386"/>
      <c r="EV386" s="439">
        <v>422</v>
      </c>
      <c r="EW386" t="s">
        <v>3064</v>
      </c>
      <c r="EX386" t="s">
        <v>1322</v>
      </c>
      <c r="EY386" t="s">
        <v>3065</v>
      </c>
      <c r="EZ386" t="s">
        <v>54</v>
      </c>
      <c r="FA386">
        <v>55767</v>
      </c>
      <c r="FB386">
        <v>1649922485</v>
      </c>
    </row>
    <row r="387" spans="109:158" ht="15" x14ac:dyDescent="0.25">
      <c r="DE387" s="489"/>
      <c r="DF387" s="489"/>
      <c r="DG387" s="489"/>
      <c r="DH387" s="431"/>
      <c r="DI387" s="431"/>
      <c r="DJ387" s="431"/>
      <c r="DK387" s="431"/>
      <c r="DL387" s="431"/>
      <c r="DM387" s="431"/>
      <c r="DN387" s="18"/>
      <c r="EH387" s="464"/>
      <c r="EI387" s="439"/>
      <c r="EJ387"/>
      <c r="EK387"/>
      <c r="EL387"/>
      <c r="EM387"/>
      <c r="EN387"/>
      <c r="EO387"/>
      <c r="EV387" s="439">
        <v>850</v>
      </c>
      <c r="EW387" t="s">
        <v>1385</v>
      </c>
      <c r="EX387" t="s">
        <v>1386</v>
      </c>
      <c r="EY387" t="s">
        <v>1387</v>
      </c>
      <c r="EZ387" t="s">
        <v>54</v>
      </c>
      <c r="FA387">
        <v>55051</v>
      </c>
      <c r="FB387"/>
    </row>
    <row r="388" spans="109:158" ht="15" x14ac:dyDescent="0.25">
      <c r="DE388" s="489"/>
      <c r="DF388" s="489"/>
      <c r="DG388" s="489"/>
      <c r="DH388" s="431"/>
      <c r="DI388" s="431"/>
      <c r="DJ388" s="431"/>
      <c r="DK388" s="431"/>
      <c r="DL388" s="431"/>
      <c r="DM388" s="431"/>
      <c r="DN388" s="18"/>
      <c r="EH388" s="466"/>
      <c r="EI388" s="439"/>
      <c r="EJ388"/>
      <c r="EK388"/>
      <c r="EL388"/>
      <c r="EM388"/>
      <c r="EN388"/>
      <c r="EO388"/>
      <c r="EV388" s="439">
        <v>67</v>
      </c>
      <c r="EW388" t="s">
        <v>2677</v>
      </c>
      <c r="EX388" t="s">
        <v>1386</v>
      </c>
      <c r="EY388" t="s">
        <v>3066</v>
      </c>
      <c r="EZ388" t="s">
        <v>54</v>
      </c>
      <c r="FA388">
        <v>55051</v>
      </c>
      <c r="FB388">
        <v>1528031390</v>
      </c>
    </row>
    <row r="389" spans="109:158" ht="15" x14ac:dyDescent="0.25">
      <c r="DE389" s="489"/>
      <c r="DF389" s="489"/>
      <c r="DG389" s="489"/>
      <c r="DH389" s="431"/>
      <c r="DI389" s="431"/>
      <c r="DJ389" s="431"/>
      <c r="DK389" s="431"/>
      <c r="DL389" s="431"/>
      <c r="DM389" s="431"/>
      <c r="DN389" s="18"/>
      <c r="EH389" s="464"/>
      <c r="EI389" s="439"/>
      <c r="EJ389"/>
      <c r="EK389"/>
      <c r="EL389"/>
      <c r="EM389"/>
      <c r="EN389"/>
      <c r="EO389"/>
      <c r="EV389" s="439">
        <v>152</v>
      </c>
      <c r="EW389" t="s">
        <v>3067</v>
      </c>
      <c r="EX389" t="s">
        <v>3068</v>
      </c>
      <c r="EY389" t="s">
        <v>3069</v>
      </c>
      <c r="EZ389" t="s">
        <v>54</v>
      </c>
      <c r="FA389">
        <v>56267</v>
      </c>
      <c r="FB389">
        <v>1487678942</v>
      </c>
    </row>
    <row r="390" spans="109:158" ht="15" x14ac:dyDescent="0.25">
      <c r="DE390" s="489"/>
      <c r="DF390" s="489"/>
      <c r="DG390" s="489"/>
      <c r="DH390" s="431"/>
      <c r="DI390" s="431"/>
      <c r="DJ390" s="431"/>
      <c r="DK390" s="431"/>
      <c r="DL390" s="431"/>
      <c r="DM390" s="431"/>
      <c r="DN390" s="18"/>
      <c r="EH390" s="464"/>
      <c r="EI390" s="439"/>
      <c r="EJ390"/>
      <c r="EK390"/>
      <c r="EL390"/>
      <c r="EM390"/>
      <c r="EN390"/>
      <c r="EO390"/>
      <c r="EV390" s="439">
        <v>357</v>
      </c>
      <c r="EW390" t="s">
        <v>3070</v>
      </c>
      <c r="EX390" t="s">
        <v>3071</v>
      </c>
      <c r="EY390" t="s">
        <v>3072</v>
      </c>
      <c r="EZ390" t="s">
        <v>54</v>
      </c>
      <c r="FA390">
        <v>55112</v>
      </c>
      <c r="FB390">
        <v>1568503845</v>
      </c>
    </row>
    <row r="391" spans="109:158" ht="15" x14ac:dyDescent="0.25">
      <c r="DE391" s="489"/>
      <c r="DF391" s="489"/>
      <c r="DG391" s="489"/>
      <c r="DH391" s="431"/>
      <c r="DI391" s="431"/>
      <c r="DJ391" s="431"/>
      <c r="DK391" s="431"/>
      <c r="DL391" s="431"/>
      <c r="DM391" s="431"/>
      <c r="DN391" s="18"/>
      <c r="EH391" s="464"/>
      <c r="EI391" s="439"/>
      <c r="EJ391"/>
      <c r="EK391"/>
      <c r="EL391"/>
      <c r="EM391"/>
      <c r="EN391"/>
      <c r="EO391"/>
      <c r="EV391" s="439">
        <v>114</v>
      </c>
      <c r="EW391" t="s">
        <v>3073</v>
      </c>
      <c r="EX391" t="s">
        <v>3074</v>
      </c>
      <c r="EY391" t="s">
        <v>3075</v>
      </c>
      <c r="EZ391" t="s">
        <v>54</v>
      </c>
      <c r="FA391">
        <v>56071</v>
      </c>
      <c r="FB391">
        <v>1124035282</v>
      </c>
    </row>
    <row r="392" spans="109:158" ht="15" x14ac:dyDescent="0.25">
      <c r="DE392" s="489"/>
      <c r="DF392" s="489"/>
      <c r="DG392" s="489"/>
      <c r="DH392" s="431"/>
      <c r="DI392" s="431"/>
      <c r="DJ392" s="431"/>
      <c r="DK392" s="431"/>
      <c r="DL392" s="431"/>
      <c r="DM392" s="431"/>
      <c r="DN392" s="18"/>
      <c r="EH392" s="464"/>
      <c r="EI392" s="439"/>
      <c r="EJ392"/>
      <c r="EK392"/>
      <c r="EL392"/>
      <c r="EM392"/>
      <c r="EN392"/>
      <c r="EO392"/>
      <c r="EV392" s="439">
        <v>527</v>
      </c>
      <c r="EW392" t="s">
        <v>2037</v>
      </c>
      <c r="EX392" t="s">
        <v>2038</v>
      </c>
      <c r="EY392" t="s">
        <v>2039</v>
      </c>
      <c r="EZ392" t="s">
        <v>54</v>
      </c>
      <c r="FA392">
        <v>56073</v>
      </c>
      <c r="FB392"/>
    </row>
    <row r="393" spans="109:158" ht="15" x14ac:dyDescent="0.25">
      <c r="DE393" s="489"/>
      <c r="DF393" s="489"/>
      <c r="DG393" s="489"/>
      <c r="DH393" s="431"/>
      <c r="DI393" s="431"/>
      <c r="DJ393" s="431"/>
      <c r="DK393" s="431"/>
      <c r="DL393" s="431"/>
      <c r="DM393" s="431"/>
      <c r="DN393" s="18"/>
      <c r="EH393" s="464"/>
      <c r="EI393" s="439"/>
      <c r="EJ393"/>
      <c r="EK393"/>
      <c r="EL393"/>
      <c r="EM393"/>
      <c r="EN393"/>
      <c r="EO393"/>
      <c r="EV393" s="439">
        <v>127</v>
      </c>
      <c r="EW393" t="s">
        <v>3076</v>
      </c>
      <c r="EX393" t="s">
        <v>2038</v>
      </c>
      <c r="EY393" t="s">
        <v>3077</v>
      </c>
      <c r="EZ393" t="s">
        <v>54</v>
      </c>
      <c r="FA393">
        <v>56073</v>
      </c>
      <c r="FB393">
        <v>1558328435</v>
      </c>
    </row>
    <row r="394" spans="109:158" ht="15" x14ac:dyDescent="0.25">
      <c r="DE394" s="489"/>
      <c r="DF394" s="489"/>
      <c r="DG394" s="489"/>
      <c r="DH394" s="431"/>
      <c r="DI394" s="431"/>
      <c r="DJ394" s="431"/>
      <c r="DK394" s="431"/>
      <c r="DL394" s="431"/>
      <c r="DM394" s="431"/>
      <c r="DN394" s="18"/>
      <c r="EH394" s="464"/>
      <c r="EI394" s="439"/>
      <c r="EJ394"/>
      <c r="EK394"/>
      <c r="EL394"/>
      <c r="EM394"/>
      <c r="EN394"/>
      <c r="EO394"/>
      <c r="EV394" s="439">
        <v>1676</v>
      </c>
      <c r="EW394" t="s">
        <v>1052</v>
      </c>
      <c r="EX394" t="s">
        <v>1053</v>
      </c>
      <c r="EY394" t="s">
        <v>1054</v>
      </c>
      <c r="EZ394" t="s">
        <v>1055</v>
      </c>
      <c r="FA394">
        <v>44720</v>
      </c>
      <c r="FB394"/>
    </row>
    <row r="395" spans="109:158" ht="15" x14ac:dyDescent="0.25">
      <c r="DE395" s="489"/>
      <c r="DF395" s="489"/>
      <c r="DG395" s="489"/>
      <c r="DH395" s="431"/>
      <c r="DI395" s="431"/>
      <c r="DJ395" s="431"/>
      <c r="DK395" s="431"/>
      <c r="DL395" s="431"/>
      <c r="DM395" s="431"/>
      <c r="DN395" s="18"/>
      <c r="EH395" s="464"/>
      <c r="EI395" s="439"/>
      <c r="EJ395"/>
      <c r="EK395"/>
      <c r="EL395"/>
      <c r="EM395"/>
      <c r="EN395"/>
      <c r="EO395"/>
      <c r="EV395" s="439">
        <v>686</v>
      </c>
      <c r="EW395" t="s">
        <v>949</v>
      </c>
      <c r="EX395" t="s">
        <v>950</v>
      </c>
      <c r="EY395" t="s">
        <v>951</v>
      </c>
      <c r="EZ395" t="s">
        <v>54</v>
      </c>
      <c r="FA395">
        <v>55057</v>
      </c>
      <c r="FB395">
        <v>1619919214</v>
      </c>
    </row>
    <row r="396" spans="109:158" ht="15" x14ac:dyDescent="0.25">
      <c r="DE396" s="489"/>
      <c r="DF396" s="489"/>
      <c r="DG396" s="489"/>
      <c r="DH396" s="431"/>
      <c r="DI396" s="431"/>
      <c r="DJ396" s="431"/>
      <c r="DK396" s="431"/>
      <c r="DL396" s="431"/>
      <c r="DM396" s="431"/>
      <c r="DN396" s="18"/>
      <c r="EH396" s="466"/>
      <c r="EI396" s="439"/>
      <c r="EJ396"/>
      <c r="EK396"/>
      <c r="EL396"/>
      <c r="EM396"/>
      <c r="EN396"/>
      <c r="EO396"/>
      <c r="EV396" s="439">
        <v>995</v>
      </c>
      <c r="EW396" t="s">
        <v>3078</v>
      </c>
      <c r="EX396" t="s">
        <v>950</v>
      </c>
      <c r="EY396" t="s">
        <v>3079</v>
      </c>
      <c r="EZ396" t="s">
        <v>54</v>
      </c>
      <c r="FA396">
        <v>55057</v>
      </c>
      <c r="FB396"/>
    </row>
    <row r="397" spans="109:158" ht="15" x14ac:dyDescent="0.25">
      <c r="DE397" s="489"/>
      <c r="DF397" s="489"/>
      <c r="DG397" s="489"/>
      <c r="DH397" s="431"/>
      <c r="DI397" s="431"/>
      <c r="DJ397" s="431"/>
      <c r="DK397" s="431"/>
      <c r="DL397" s="431"/>
      <c r="DM397" s="431"/>
      <c r="DN397" s="432"/>
      <c r="EH397" s="466"/>
      <c r="EI397" s="439"/>
      <c r="EJ397"/>
      <c r="EK397"/>
      <c r="EL397"/>
      <c r="EM397"/>
      <c r="EN397"/>
      <c r="EO397"/>
      <c r="EV397" s="439">
        <v>528</v>
      </c>
      <c r="EW397" t="s">
        <v>2019</v>
      </c>
      <c r="EX397" t="s">
        <v>950</v>
      </c>
      <c r="EY397" t="s">
        <v>951</v>
      </c>
      <c r="EZ397" t="s">
        <v>54</v>
      </c>
      <c r="FA397">
        <v>55057</v>
      </c>
      <c r="FB397"/>
    </row>
    <row r="398" spans="109:158" ht="15" x14ac:dyDescent="0.25">
      <c r="DE398" s="489"/>
      <c r="DF398" s="489"/>
      <c r="DG398" s="489"/>
      <c r="DH398" s="431"/>
      <c r="DI398" s="431"/>
      <c r="DJ398" s="431"/>
      <c r="DK398" s="431"/>
      <c r="DL398" s="431"/>
      <c r="DM398" s="431"/>
      <c r="DN398" s="18"/>
      <c r="EH398" s="464"/>
      <c r="EI398" s="439"/>
      <c r="EJ398"/>
      <c r="EK398"/>
      <c r="EL398"/>
      <c r="EM398"/>
      <c r="EN398"/>
      <c r="EO398"/>
      <c r="EV398" s="439">
        <v>105</v>
      </c>
      <c r="EW398" t="s">
        <v>3080</v>
      </c>
      <c r="EX398" t="s">
        <v>950</v>
      </c>
      <c r="EY398" t="s">
        <v>3081</v>
      </c>
      <c r="EZ398" t="s">
        <v>54</v>
      </c>
      <c r="FA398">
        <v>55057</v>
      </c>
      <c r="FB398">
        <v>1417990805</v>
      </c>
    </row>
    <row r="399" spans="109:158" ht="15" x14ac:dyDescent="0.25">
      <c r="DE399" s="489"/>
      <c r="DF399" s="489"/>
      <c r="DG399" s="489"/>
      <c r="DH399" s="431"/>
      <c r="DI399" s="431"/>
      <c r="DJ399" s="431"/>
      <c r="DK399" s="431"/>
      <c r="DL399" s="431"/>
      <c r="DM399" s="431"/>
      <c r="DN399" s="18"/>
      <c r="EH399" s="464"/>
      <c r="EI399" s="439"/>
      <c r="EJ399"/>
      <c r="EK399"/>
      <c r="EL399"/>
      <c r="EM399"/>
      <c r="EN399"/>
      <c r="EO399"/>
      <c r="EV399" s="439">
        <v>1194</v>
      </c>
      <c r="EW399" t="s">
        <v>3082</v>
      </c>
      <c r="EX399" t="s">
        <v>3083</v>
      </c>
      <c r="EY399" t="s">
        <v>3084</v>
      </c>
      <c r="EZ399" t="s">
        <v>54</v>
      </c>
      <c r="FA399">
        <v>55127</v>
      </c>
      <c r="FB399"/>
    </row>
    <row r="400" spans="109:158" ht="15" x14ac:dyDescent="0.25">
      <c r="DE400" s="489"/>
      <c r="DF400" s="489"/>
      <c r="DG400" s="489"/>
      <c r="DH400" s="431"/>
      <c r="DI400" s="431"/>
      <c r="DJ400" s="431"/>
      <c r="DK400" s="431"/>
      <c r="DL400" s="431"/>
      <c r="DM400" s="431"/>
      <c r="DN400" s="18"/>
      <c r="EH400" s="464"/>
      <c r="EI400" s="439"/>
      <c r="EJ400"/>
      <c r="EK400"/>
      <c r="EL400"/>
      <c r="EM400"/>
      <c r="EN400"/>
      <c r="EO400"/>
      <c r="EV400" s="439">
        <v>1002</v>
      </c>
      <c r="EW400" t="s">
        <v>3085</v>
      </c>
      <c r="EX400" t="s">
        <v>3086</v>
      </c>
      <c r="EY400" t="s">
        <v>3087</v>
      </c>
      <c r="EZ400" t="s">
        <v>54</v>
      </c>
      <c r="FA400">
        <v>55128</v>
      </c>
      <c r="FB400"/>
    </row>
    <row r="401" spans="109:158" ht="15" x14ac:dyDescent="0.25">
      <c r="DE401" s="489"/>
      <c r="DF401" s="489"/>
      <c r="DG401" s="489"/>
      <c r="DH401" s="431"/>
      <c r="DI401" s="431"/>
      <c r="DJ401" s="431"/>
      <c r="DK401" s="431"/>
      <c r="DL401" s="431"/>
      <c r="DM401" s="431"/>
      <c r="DN401" s="18"/>
      <c r="EH401" s="464"/>
      <c r="EI401" s="439"/>
      <c r="EJ401"/>
      <c r="EK401"/>
      <c r="EL401"/>
      <c r="EM401"/>
      <c r="EN401"/>
      <c r="EO401"/>
      <c r="EV401" s="439">
        <v>116</v>
      </c>
      <c r="EW401" t="s">
        <v>3088</v>
      </c>
      <c r="EX401" t="s">
        <v>3089</v>
      </c>
      <c r="EY401" t="s">
        <v>3090</v>
      </c>
      <c r="EZ401" t="s">
        <v>54</v>
      </c>
      <c r="FA401">
        <v>56277</v>
      </c>
      <c r="FB401">
        <v>1629091871</v>
      </c>
    </row>
    <row r="402" spans="109:158" ht="15" x14ac:dyDescent="0.25">
      <c r="DE402" s="489"/>
      <c r="DF402" s="489"/>
      <c r="DG402" s="489"/>
      <c r="DH402" s="431"/>
      <c r="DI402" s="431"/>
      <c r="DJ402" s="431"/>
      <c r="DK402" s="431"/>
      <c r="DL402" s="431"/>
      <c r="DM402" s="431"/>
      <c r="DN402" s="18"/>
      <c r="EH402" s="464"/>
      <c r="EI402" s="439"/>
      <c r="EJ402"/>
      <c r="EK402"/>
      <c r="EL402"/>
      <c r="EM402"/>
      <c r="EN402"/>
      <c r="EO402"/>
      <c r="EV402" s="439">
        <v>851</v>
      </c>
      <c r="EW402" t="s">
        <v>1324</v>
      </c>
      <c r="EX402" t="s">
        <v>1325</v>
      </c>
      <c r="EY402" t="s">
        <v>1326</v>
      </c>
      <c r="EZ402" t="s">
        <v>54</v>
      </c>
      <c r="FA402">
        <v>56359</v>
      </c>
      <c r="FB402"/>
    </row>
    <row r="403" spans="109:158" ht="15" x14ac:dyDescent="0.25">
      <c r="DE403" s="489"/>
      <c r="DF403" s="489"/>
      <c r="DG403" s="489"/>
      <c r="DH403" s="431"/>
      <c r="DI403" s="431"/>
      <c r="DJ403" s="431"/>
      <c r="DK403" s="431"/>
      <c r="DL403" s="431"/>
      <c r="DM403" s="431"/>
      <c r="DN403" s="18"/>
      <c r="EH403" s="464"/>
      <c r="EI403" s="439"/>
      <c r="EJ403"/>
      <c r="EK403"/>
      <c r="EL403"/>
      <c r="EM403"/>
      <c r="EN403"/>
      <c r="EO403"/>
      <c r="EV403" s="439">
        <v>28</v>
      </c>
      <c r="EW403" t="s">
        <v>3091</v>
      </c>
      <c r="EX403" t="s">
        <v>1325</v>
      </c>
      <c r="EY403" t="s">
        <v>3092</v>
      </c>
      <c r="EZ403" t="s">
        <v>54</v>
      </c>
      <c r="FA403">
        <v>56359</v>
      </c>
      <c r="FB403">
        <v>1548212699</v>
      </c>
    </row>
    <row r="404" spans="109:158" ht="15" x14ac:dyDescent="0.25">
      <c r="DE404" s="489"/>
      <c r="DF404" s="489"/>
      <c r="DG404" s="489"/>
      <c r="DH404" s="431"/>
      <c r="DI404" s="431"/>
      <c r="DJ404" s="431"/>
      <c r="DK404" s="431"/>
      <c r="DL404" s="431"/>
      <c r="DM404" s="431"/>
      <c r="DN404" s="18"/>
      <c r="EH404" s="466"/>
      <c r="EI404" s="439"/>
      <c r="EJ404"/>
      <c r="EK404"/>
      <c r="EL404"/>
      <c r="EM404"/>
      <c r="EN404"/>
      <c r="EO404"/>
      <c r="EV404" s="439">
        <v>1477</v>
      </c>
      <c r="EW404" t="s">
        <v>1331</v>
      </c>
      <c r="EX404" t="s">
        <v>1332</v>
      </c>
      <c r="EY404" t="s">
        <v>1333</v>
      </c>
      <c r="EZ404" t="s">
        <v>54</v>
      </c>
      <c r="FA404">
        <v>56278</v>
      </c>
      <c r="FB404"/>
    </row>
    <row r="405" spans="109:158" ht="15" x14ac:dyDescent="0.25">
      <c r="DE405" s="489"/>
      <c r="DF405" s="489"/>
      <c r="DG405" s="489"/>
      <c r="DH405" s="431"/>
      <c r="DI405" s="431"/>
      <c r="DJ405" s="431"/>
      <c r="DK405" s="431"/>
      <c r="DL405" s="431"/>
      <c r="DM405" s="431"/>
      <c r="DN405" s="18"/>
      <c r="EH405" s="464"/>
      <c r="EI405" s="439"/>
      <c r="EJ405"/>
      <c r="EK405"/>
      <c r="EL405"/>
      <c r="EM405"/>
      <c r="EN405"/>
      <c r="EO405"/>
      <c r="EV405" s="439">
        <v>108</v>
      </c>
      <c r="EW405" t="s">
        <v>3093</v>
      </c>
      <c r="EX405" t="s">
        <v>1332</v>
      </c>
      <c r="EY405" t="s">
        <v>1333</v>
      </c>
      <c r="EZ405" t="s">
        <v>54</v>
      </c>
      <c r="FA405">
        <v>56278</v>
      </c>
      <c r="FB405">
        <v>1790783587</v>
      </c>
    </row>
    <row r="406" spans="109:158" ht="15" x14ac:dyDescent="0.25">
      <c r="DE406" s="489"/>
      <c r="DF406" s="489"/>
      <c r="DG406" s="489"/>
      <c r="DH406" s="431"/>
      <c r="DI406" s="431"/>
      <c r="DJ406" s="431"/>
      <c r="DK406" s="431"/>
      <c r="DL406" s="431"/>
      <c r="DM406" s="431"/>
      <c r="DN406" s="18"/>
      <c r="EH406" s="464"/>
      <c r="EI406" s="439"/>
      <c r="EJ406"/>
      <c r="EK406"/>
      <c r="EL406"/>
      <c r="EM406"/>
      <c r="EN406"/>
      <c r="EO406"/>
      <c r="EV406" s="439">
        <v>1448</v>
      </c>
      <c r="EW406" t="s">
        <v>2268</v>
      </c>
      <c r="EX406" t="s">
        <v>2269</v>
      </c>
      <c r="EY406" t="s">
        <v>2270</v>
      </c>
      <c r="EZ406" t="s">
        <v>54</v>
      </c>
      <c r="FA406">
        <v>55330</v>
      </c>
      <c r="FB406">
        <v>1659348092</v>
      </c>
    </row>
    <row r="407" spans="109:158" ht="15" x14ac:dyDescent="0.25">
      <c r="DE407" s="489"/>
      <c r="DF407" s="489"/>
      <c r="DG407" s="489"/>
      <c r="DH407" s="431"/>
      <c r="DI407" s="431"/>
      <c r="DJ407" s="431"/>
      <c r="DK407" s="431"/>
      <c r="DL407" s="431"/>
      <c r="DM407" s="431"/>
      <c r="DN407" s="18"/>
      <c r="EH407" s="464"/>
      <c r="EI407" s="439"/>
      <c r="EJ407"/>
      <c r="EK407"/>
      <c r="EL407"/>
      <c r="EM407"/>
      <c r="EN407"/>
      <c r="EO407"/>
      <c r="EV407" s="439">
        <v>746</v>
      </c>
      <c r="EW407" t="s">
        <v>1910</v>
      </c>
      <c r="EX407" t="s">
        <v>1911</v>
      </c>
      <c r="EY407" t="s">
        <v>1912</v>
      </c>
      <c r="EZ407" t="s">
        <v>54</v>
      </c>
      <c r="FA407">
        <v>55060</v>
      </c>
      <c r="FB407">
        <v>1568415875</v>
      </c>
    </row>
    <row r="408" spans="109:158" ht="15" x14ac:dyDescent="0.25">
      <c r="DE408" s="489"/>
      <c r="DF408" s="489"/>
      <c r="DG408" s="489"/>
      <c r="DH408" s="431"/>
      <c r="DI408" s="431"/>
      <c r="DJ408" s="431"/>
      <c r="DK408" s="431"/>
      <c r="DL408" s="431"/>
      <c r="DM408" s="431"/>
      <c r="DN408" s="18"/>
      <c r="EH408" s="464"/>
      <c r="EI408" s="439"/>
      <c r="EJ408"/>
      <c r="EK408"/>
      <c r="EL408"/>
      <c r="EM408"/>
      <c r="EN408"/>
      <c r="EO408"/>
      <c r="EV408" s="439">
        <v>57</v>
      </c>
      <c r="EW408" t="s">
        <v>3094</v>
      </c>
      <c r="EX408" t="s">
        <v>1911</v>
      </c>
      <c r="EY408" t="s">
        <v>3095</v>
      </c>
      <c r="EZ408" t="s">
        <v>54</v>
      </c>
      <c r="FA408">
        <v>55060</v>
      </c>
      <c r="FB408">
        <v>1528025632</v>
      </c>
    </row>
    <row r="409" spans="109:158" ht="15" x14ac:dyDescent="0.25">
      <c r="DE409" s="489"/>
      <c r="DF409" s="489"/>
      <c r="DG409" s="489"/>
      <c r="DH409" s="431"/>
      <c r="DI409" s="431"/>
      <c r="DJ409" s="431"/>
      <c r="DK409" s="431"/>
      <c r="DL409" s="431"/>
      <c r="DM409" s="431"/>
      <c r="DN409" s="18"/>
      <c r="EH409" s="464"/>
      <c r="EI409" s="439"/>
      <c r="EJ409"/>
      <c r="EK409"/>
      <c r="EL409"/>
      <c r="EM409"/>
      <c r="EN409"/>
      <c r="EO409"/>
      <c r="EV409" s="439">
        <v>852</v>
      </c>
      <c r="EW409" t="s">
        <v>1254</v>
      </c>
      <c r="EX409" t="s">
        <v>1255</v>
      </c>
      <c r="EY409" t="s">
        <v>1256</v>
      </c>
      <c r="EZ409" t="s">
        <v>54</v>
      </c>
      <c r="FA409">
        <v>56470</v>
      </c>
      <c r="FB409"/>
    </row>
    <row r="410" spans="109:158" ht="15" x14ac:dyDescent="0.25">
      <c r="DE410" s="489"/>
      <c r="DF410" s="489"/>
      <c r="DG410" s="489"/>
      <c r="DH410" s="431"/>
      <c r="DI410" s="431"/>
      <c r="DJ410" s="431"/>
      <c r="DK410" s="431"/>
      <c r="DL410" s="431"/>
      <c r="DM410" s="431"/>
      <c r="DN410" s="18"/>
      <c r="EH410" s="464"/>
      <c r="EI410" s="439"/>
      <c r="EJ410"/>
      <c r="EK410"/>
      <c r="EL410"/>
      <c r="EM410"/>
      <c r="EN410"/>
      <c r="EO410"/>
      <c r="EV410" s="439">
        <v>140</v>
      </c>
      <c r="EW410" t="s">
        <v>3096</v>
      </c>
      <c r="EX410" t="s">
        <v>1255</v>
      </c>
      <c r="EY410" t="s">
        <v>1256</v>
      </c>
      <c r="EZ410" t="s">
        <v>54</v>
      </c>
      <c r="FA410">
        <v>56470</v>
      </c>
      <c r="FB410">
        <v>1023086055</v>
      </c>
    </row>
    <row r="411" spans="109:158" ht="15" x14ac:dyDescent="0.25">
      <c r="DE411" s="489"/>
      <c r="DF411" s="489"/>
      <c r="DG411" s="489"/>
      <c r="DH411" s="431"/>
      <c r="DI411" s="431"/>
      <c r="DJ411" s="431"/>
      <c r="DK411" s="431"/>
      <c r="DL411" s="431"/>
      <c r="DM411" s="431"/>
      <c r="DN411" s="18"/>
      <c r="EH411" s="464"/>
      <c r="EI411" s="439"/>
      <c r="EJ411"/>
      <c r="EK411"/>
      <c r="EL411"/>
      <c r="EM411"/>
      <c r="EN411"/>
      <c r="EO411"/>
      <c r="EV411" s="439">
        <v>1474</v>
      </c>
      <c r="EW411" t="s">
        <v>1614</v>
      </c>
      <c r="EX411" t="s">
        <v>1255</v>
      </c>
      <c r="EY411" t="s">
        <v>1615</v>
      </c>
      <c r="EZ411" t="s">
        <v>54</v>
      </c>
      <c r="FA411">
        <v>56470</v>
      </c>
      <c r="FB411">
        <v>1730706656</v>
      </c>
    </row>
    <row r="412" spans="109:158" ht="15" x14ac:dyDescent="0.25">
      <c r="DE412" s="489"/>
      <c r="DF412" s="489"/>
      <c r="DG412" s="489"/>
      <c r="DH412" s="431"/>
      <c r="DI412" s="431"/>
      <c r="DJ412" s="431"/>
      <c r="DK412" s="431"/>
      <c r="DL412" s="431"/>
      <c r="DM412" s="431"/>
      <c r="DN412" s="18"/>
      <c r="EH412" s="464"/>
      <c r="EI412" s="439"/>
      <c r="EJ412"/>
      <c r="EK412"/>
      <c r="EL412"/>
      <c r="EM412"/>
      <c r="EN412"/>
      <c r="EO412"/>
      <c r="EV412" s="439">
        <v>110</v>
      </c>
      <c r="EW412" t="s">
        <v>3097</v>
      </c>
      <c r="EX412" t="s">
        <v>1245</v>
      </c>
      <c r="EY412" t="s">
        <v>1246</v>
      </c>
      <c r="EZ412" t="s">
        <v>54</v>
      </c>
      <c r="FA412">
        <v>56362</v>
      </c>
      <c r="FB412">
        <v>1205269941</v>
      </c>
    </row>
    <row r="413" spans="109:158" ht="15" x14ac:dyDescent="0.25">
      <c r="DE413" s="489"/>
      <c r="DF413" s="489"/>
      <c r="DG413" s="489"/>
      <c r="DH413" s="431"/>
      <c r="DI413" s="431"/>
      <c r="DJ413" s="431"/>
      <c r="DK413" s="431"/>
      <c r="DL413" s="431"/>
      <c r="DM413" s="431"/>
      <c r="DN413" s="18"/>
      <c r="EH413" s="464"/>
      <c r="EI413" s="439"/>
      <c r="EJ413"/>
      <c r="EK413"/>
      <c r="EL413"/>
      <c r="EM413"/>
      <c r="EN413"/>
      <c r="EO413"/>
      <c r="EV413" s="439">
        <v>937</v>
      </c>
      <c r="EW413" t="s">
        <v>1244</v>
      </c>
      <c r="EX413" t="s">
        <v>1245</v>
      </c>
      <c r="EY413" t="s">
        <v>1246</v>
      </c>
      <c r="EZ413" t="s">
        <v>54</v>
      </c>
      <c r="FA413">
        <v>56362</v>
      </c>
      <c r="FB413"/>
    </row>
    <row r="414" spans="109:158" ht="15" x14ac:dyDescent="0.25">
      <c r="DE414" s="489"/>
      <c r="DF414" s="489"/>
      <c r="DG414" s="489"/>
      <c r="DH414" s="431"/>
      <c r="DI414" s="431"/>
      <c r="DJ414" s="431"/>
      <c r="DK414" s="431"/>
      <c r="DL414" s="431"/>
      <c r="DM414" s="431"/>
      <c r="DN414" s="18"/>
      <c r="EH414" s="464"/>
      <c r="EI414" s="439"/>
      <c r="EJ414"/>
      <c r="EK414"/>
      <c r="EL414"/>
      <c r="EM414"/>
      <c r="EN414"/>
      <c r="EO414"/>
      <c r="EV414" s="439">
        <v>853</v>
      </c>
      <c r="EW414" t="s">
        <v>1335</v>
      </c>
      <c r="EX414" t="s">
        <v>1336</v>
      </c>
      <c r="EY414" t="s">
        <v>1337</v>
      </c>
      <c r="EZ414" t="s">
        <v>54</v>
      </c>
      <c r="FA414">
        <v>56573</v>
      </c>
      <c r="FB414"/>
    </row>
    <row r="415" spans="109:158" ht="15" x14ac:dyDescent="0.25">
      <c r="DE415" s="489"/>
      <c r="DF415" s="489"/>
      <c r="DG415" s="489"/>
      <c r="DH415" s="431"/>
      <c r="DI415" s="431"/>
      <c r="DJ415" s="431"/>
      <c r="DK415" s="431"/>
      <c r="DL415" s="431"/>
      <c r="DM415" s="431"/>
      <c r="DN415" s="18"/>
      <c r="EH415" s="464"/>
      <c r="EI415" s="439"/>
      <c r="EJ415"/>
      <c r="EK415"/>
      <c r="EL415"/>
      <c r="EM415"/>
      <c r="EN415"/>
      <c r="EO415"/>
      <c r="EV415" s="439">
        <v>112</v>
      </c>
      <c r="EW415" t="s">
        <v>3098</v>
      </c>
      <c r="EX415" t="s">
        <v>1336</v>
      </c>
      <c r="EY415" t="s">
        <v>3099</v>
      </c>
      <c r="EZ415" t="s">
        <v>54</v>
      </c>
      <c r="FA415">
        <v>56573</v>
      </c>
      <c r="FB415">
        <v>1790799518</v>
      </c>
    </row>
    <row r="416" spans="109:158" ht="15" x14ac:dyDescent="0.25">
      <c r="DE416" s="489"/>
      <c r="DF416" s="489"/>
      <c r="DG416" s="489"/>
      <c r="DH416" s="431"/>
      <c r="DI416" s="431"/>
      <c r="DJ416" s="431"/>
      <c r="DK416" s="431"/>
      <c r="DL416" s="431"/>
      <c r="DM416" s="431"/>
      <c r="DN416" s="18"/>
      <c r="EH416" s="464"/>
      <c r="EI416" s="439"/>
      <c r="EJ416"/>
      <c r="EK416"/>
      <c r="EL416"/>
      <c r="EM416"/>
      <c r="EN416"/>
      <c r="EO416"/>
      <c r="EV416" s="439">
        <v>1459</v>
      </c>
      <c r="EW416" t="s">
        <v>1389</v>
      </c>
      <c r="EX416" t="s">
        <v>1390</v>
      </c>
      <c r="EY416" t="s">
        <v>1391</v>
      </c>
      <c r="EZ416" t="s">
        <v>54</v>
      </c>
      <c r="FA416">
        <v>55063</v>
      </c>
      <c r="FB416"/>
    </row>
    <row r="417" spans="109:158" ht="15" x14ac:dyDescent="0.25">
      <c r="DE417" s="489"/>
      <c r="DF417" s="489"/>
      <c r="DG417" s="489"/>
      <c r="DH417" s="431"/>
      <c r="DI417" s="431"/>
      <c r="DJ417" s="431"/>
      <c r="DK417" s="431"/>
      <c r="DL417" s="431"/>
      <c r="DM417" s="431"/>
      <c r="DN417" s="18"/>
      <c r="EH417" s="464"/>
      <c r="EI417" s="439"/>
      <c r="EJ417"/>
      <c r="EK417"/>
      <c r="EL417"/>
      <c r="EM417"/>
      <c r="EN417"/>
      <c r="EO417"/>
      <c r="EV417" s="439">
        <v>936</v>
      </c>
      <c r="EW417" t="s">
        <v>3100</v>
      </c>
      <c r="EX417" t="s">
        <v>1390</v>
      </c>
      <c r="EY417" t="s">
        <v>3101</v>
      </c>
      <c r="EZ417" t="s">
        <v>54</v>
      </c>
      <c r="FA417">
        <v>55063</v>
      </c>
      <c r="FB417">
        <v>1437244431</v>
      </c>
    </row>
    <row r="418" spans="109:158" ht="15" x14ac:dyDescent="0.25">
      <c r="DE418" s="489"/>
      <c r="DF418" s="489"/>
      <c r="DG418" s="489"/>
      <c r="DH418" s="431"/>
      <c r="DI418" s="431"/>
      <c r="DJ418" s="431"/>
      <c r="DK418" s="431"/>
      <c r="DL418" s="431"/>
      <c r="DM418" s="431"/>
      <c r="DN418" s="18"/>
      <c r="EH418" s="464"/>
      <c r="EI418" s="439"/>
      <c r="EJ418"/>
      <c r="EK418"/>
      <c r="EL418"/>
      <c r="EM418"/>
      <c r="EN418"/>
      <c r="EO418"/>
      <c r="EV418" s="439">
        <v>1454</v>
      </c>
      <c r="EW418" t="s">
        <v>2669</v>
      </c>
      <c r="EX418" t="s">
        <v>1390</v>
      </c>
      <c r="EY418" t="s">
        <v>1391</v>
      </c>
      <c r="EZ418" t="s">
        <v>54</v>
      </c>
      <c r="FA418">
        <v>55063</v>
      </c>
      <c r="FB418">
        <v>1992012207</v>
      </c>
    </row>
    <row r="419" spans="109:158" ht="15" x14ac:dyDescent="0.25">
      <c r="DE419" s="489"/>
      <c r="DF419" s="489"/>
      <c r="DG419" s="489"/>
      <c r="DH419" s="431"/>
      <c r="DI419" s="431"/>
      <c r="DJ419" s="431"/>
      <c r="DK419" s="431"/>
      <c r="DL419" s="431"/>
      <c r="DM419" s="431"/>
      <c r="DN419" s="18"/>
      <c r="EH419" s="464"/>
      <c r="EI419" s="439"/>
      <c r="EJ419"/>
      <c r="EK419"/>
      <c r="EL419"/>
      <c r="EM419"/>
      <c r="EN419"/>
      <c r="EO419"/>
      <c r="EV419" s="439">
        <v>938</v>
      </c>
      <c r="EW419" t="s">
        <v>1339</v>
      </c>
      <c r="EX419" t="s">
        <v>1340</v>
      </c>
      <c r="EY419" t="s">
        <v>1341</v>
      </c>
      <c r="EZ419" t="s">
        <v>54</v>
      </c>
      <c r="FA419">
        <v>56164</v>
      </c>
      <c r="FB419"/>
    </row>
    <row r="420" spans="109:158" ht="15" x14ac:dyDescent="0.25">
      <c r="DE420" s="489"/>
      <c r="DF420" s="489"/>
      <c r="DG420" s="489"/>
      <c r="DH420" s="431"/>
      <c r="DI420" s="431"/>
      <c r="DJ420" s="431"/>
      <c r="DK420" s="431"/>
      <c r="DL420" s="431"/>
      <c r="DM420" s="431"/>
      <c r="DN420" s="18"/>
      <c r="EH420" s="464"/>
      <c r="EI420" s="439"/>
      <c r="EJ420"/>
      <c r="EK420"/>
      <c r="EL420"/>
      <c r="EM420"/>
      <c r="EN420"/>
      <c r="EO420"/>
      <c r="EV420" s="439">
        <v>113</v>
      </c>
      <c r="EW420" t="s">
        <v>3102</v>
      </c>
      <c r="EX420" t="s">
        <v>1340</v>
      </c>
      <c r="EY420" t="s">
        <v>3103</v>
      </c>
      <c r="EZ420" t="s">
        <v>54</v>
      </c>
      <c r="FA420">
        <v>56164</v>
      </c>
      <c r="FB420">
        <v>1598751240</v>
      </c>
    </row>
    <row r="421" spans="109:158" ht="15" x14ac:dyDescent="0.25">
      <c r="DE421" s="489"/>
      <c r="DF421" s="489"/>
      <c r="DG421" s="489"/>
      <c r="DH421" s="431"/>
      <c r="DI421" s="431"/>
      <c r="DJ421" s="431"/>
      <c r="DK421" s="431"/>
      <c r="DL421" s="431"/>
      <c r="DM421" s="431"/>
      <c r="DN421" s="18"/>
      <c r="EH421" s="464"/>
      <c r="EI421" s="439"/>
      <c r="EJ421"/>
      <c r="EK421"/>
      <c r="EL421"/>
      <c r="EM421"/>
      <c r="EN421"/>
      <c r="EO421"/>
      <c r="EV421" s="439">
        <v>928</v>
      </c>
      <c r="EW421" t="s">
        <v>3104</v>
      </c>
      <c r="EX421" t="s">
        <v>1128</v>
      </c>
      <c r="EY421" t="s">
        <v>3105</v>
      </c>
      <c r="EZ421" t="s">
        <v>54</v>
      </c>
      <c r="FA421">
        <v>55422</v>
      </c>
      <c r="FB421"/>
    </row>
    <row r="422" spans="109:158" ht="15" x14ac:dyDescent="0.25">
      <c r="DE422" s="489"/>
      <c r="DF422" s="489"/>
      <c r="DG422" s="489"/>
      <c r="DH422" s="431"/>
      <c r="DI422" s="431"/>
      <c r="DJ422" s="431"/>
      <c r="DK422" s="431"/>
      <c r="DL422" s="431"/>
      <c r="DM422" s="431"/>
      <c r="DN422" s="18"/>
      <c r="EH422" s="464"/>
      <c r="EI422" s="439"/>
      <c r="EJ422"/>
      <c r="EK422"/>
      <c r="EL422"/>
      <c r="EM422"/>
      <c r="EN422"/>
      <c r="EO422"/>
      <c r="EV422" s="439">
        <v>1436</v>
      </c>
      <c r="EW422" t="s">
        <v>1127</v>
      </c>
      <c r="EX422" t="s">
        <v>1128</v>
      </c>
      <c r="EY422" t="s">
        <v>1129</v>
      </c>
      <c r="EZ422" t="s">
        <v>54</v>
      </c>
      <c r="FA422">
        <v>55446</v>
      </c>
      <c r="FB422">
        <v>1659348092</v>
      </c>
    </row>
    <row r="423" spans="109:158" ht="15" x14ac:dyDescent="0.25">
      <c r="DE423" s="489"/>
      <c r="DF423" s="489"/>
      <c r="DG423" s="489"/>
      <c r="DH423" s="431"/>
      <c r="DI423" s="431"/>
      <c r="DJ423" s="431"/>
      <c r="DK423" s="431"/>
      <c r="DL423" s="431"/>
      <c r="DM423" s="431"/>
      <c r="DN423" s="18"/>
      <c r="EH423" s="464"/>
      <c r="EI423" s="439"/>
      <c r="EJ423"/>
      <c r="EK423"/>
      <c r="EL423"/>
      <c r="EM423"/>
      <c r="EN423"/>
      <c r="EO423"/>
      <c r="EV423" s="439">
        <v>1862</v>
      </c>
      <c r="EW423" t="s">
        <v>3106</v>
      </c>
      <c r="EX423" t="s">
        <v>1128</v>
      </c>
      <c r="EY423" t="s">
        <v>3107</v>
      </c>
      <c r="EZ423" t="s">
        <v>54</v>
      </c>
      <c r="FA423">
        <v>55441</v>
      </c>
      <c r="FB423"/>
    </row>
    <row r="424" spans="109:158" ht="15" x14ac:dyDescent="0.25">
      <c r="DE424" s="489"/>
      <c r="DF424" s="489"/>
      <c r="DG424" s="489"/>
      <c r="DH424" s="431"/>
      <c r="DI424" s="431"/>
      <c r="DJ424" s="431"/>
      <c r="DK424" s="431"/>
      <c r="DL424" s="431"/>
      <c r="DM424" s="431"/>
      <c r="DN424" s="18"/>
      <c r="EH424" s="464"/>
      <c r="EI424" s="439"/>
      <c r="EJ424"/>
      <c r="EK424"/>
      <c r="EL424"/>
      <c r="EM424"/>
      <c r="EN424"/>
      <c r="EO424"/>
      <c r="EV424" s="439">
        <v>581</v>
      </c>
      <c r="EW424" t="s">
        <v>1734</v>
      </c>
      <c r="EX424" t="s">
        <v>1128</v>
      </c>
      <c r="EY424" t="s">
        <v>1735</v>
      </c>
      <c r="EZ424" t="s">
        <v>54</v>
      </c>
      <c r="FA424">
        <v>55441</v>
      </c>
      <c r="FB424">
        <v>1922009471</v>
      </c>
    </row>
    <row r="425" spans="109:158" ht="15" x14ac:dyDescent="0.25">
      <c r="DE425" s="489"/>
      <c r="DF425" s="489"/>
      <c r="DG425" s="489"/>
      <c r="DH425" s="431"/>
      <c r="DI425" s="431"/>
      <c r="DJ425" s="431"/>
      <c r="DK425" s="431"/>
      <c r="DL425" s="431"/>
      <c r="DM425" s="431"/>
      <c r="DN425" s="18"/>
      <c r="EH425" s="464"/>
      <c r="EI425" s="439"/>
      <c r="EJ425"/>
      <c r="EK425"/>
      <c r="EL425"/>
      <c r="EM425"/>
      <c r="EN425"/>
      <c r="EO425"/>
      <c r="EV425" s="439">
        <v>976</v>
      </c>
      <c r="EW425" t="s">
        <v>1760</v>
      </c>
      <c r="EX425" t="s">
        <v>1128</v>
      </c>
      <c r="EY425" t="s">
        <v>1761</v>
      </c>
      <c r="EZ425" t="s">
        <v>54</v>
      </c>
      <c r="FA425">
        <v>55446</v>
      </c>
      <c r="FB425"/>
    </row>
    <row r="426" spans="109:158" ht="15" x14ac:dyDescent="0.25">
      <c r="DE426" s="489"/>
      <c r="DF426" s="489"/>
      <c r="DG426" s="489"/>
      <c r="DH426" s="431"/>
      <c r="DI426" s="431"/>
      <c r="DJ426" s="431"/>
      <c r="DK426" s="431"/>
      <c r="DL426" s="431"/>
      <c r="DM426" s="431"/>
      <c r="DN426" s="18"/>
      <c r="EH426" s="464"/>
      <c r="EI426" s="439"/>
      <c r="EJ426"/>
      <c r="EK426"/>
      <c r="EL426"/>
      <c r="EM426"/>
      <c r="EN426"/>
      <c r="EO426"/>
      <c r="EV426" s="439">
        <v>332</v>
      </c>
      <c r="EW426" t="s">
        <v>3108</v>
      </c>
      <c r="EX426" t="s">
        <v>1128</v>
      </c>
      <c r="EY426" t="s">
        <v>1129</v>
      </c>
      <c r="EZ426" t="s">
        <v>54</v>
      </c>
      <c r="FA426">
        <v>55446</v>
      </c>
      <c r="FB426">
        <v>1669496345</v>
      </c>
    </row>
    <row r="427" spans="109:158" ht="15" x14ac:dyDescent="0.25">
      <c r="DE427" s="489"/>
      <c r="DF427" s="489"/>
      <c r="DG427" s="489"/>
      <c r="DH427" s="431"/>
      <c r="DI427" s="431"/>
      <c r="DJ427" s="431"/>
      <c r="DK427" s="431"/>
      <c r="DL427" s="431"/>
      <c r="DM427" s="431"/>
      <c r="DN427" s="18"/>
      <c r="EH427" s="464"/>
      <c r="EI427" s="439"/>
      <c r="EJ427"/>
      <c r="EK427"/>
      <c r="EL427"/>
      <c r="EM427"/>
      <c r="EN427"/>
      <c r="EO427"/>
      <c r="EV427" s="439">
        <v>426</v>
      </c>
      <c r="EW427" t="s">
        <v>3109</v>
      </c>
      <c r="EX427" t="s">
        <v>1128</v>
      </c>
      <c r="EY427" t="s">
        <v>2621</v>
      </c>
      <c r="EZ427" t="s">
        <v>54</v>
      </c>
      <c r="FA427">
        <v>55446</v>
      </c>
      <c r="FB427"/>
    </row>
    <row r="428" spans="109:158" ht="15" x14ac:dyDescent="0.25">
      <c r="DE428" s="489"/>
      <c r="DF428" s="489"/>
      <c r="DG428" s="489"/>
      <c r="DH428" s="431"/>
      <c r="DI428" s="431"/>
      <c r="DJ428" s="431"/>
      <c r="DK428" s="431"/>
      <c r="DL428" s="431"/>
      <c r="DM428" s="431"/>
      <c r="DN428" s="18"/>
      <c r="EH428" s="464"/>
      <c r="EI428" s="439"/>
      <c r="EJ428"/>
      <c r="EK428"/>
      <c r="EL428"/>
      <c r="EM428"/>
      <c r="EN428"/>
      <c r="EO428"/>
      <c r="EV428" s="439">
        <v>352</v>
      </c>
      <c r="EW428" t="s">
        <v>3110</v>
      </c>
      <c r="EX428" t="s">
        <v>1128</v>
      </c>
      <c r="EY428" t="s">
        <v>1129</v>
      </c>
      <c r="EZ428" t="s">
        <v>54</v>
      </c>
      <c r="FA428">
        <v>55446</v>
      </c>
      <c r="FB428">
        <v>1447287370</v>
      </c>
    </row>
    <row r="429" spans="109:158" ht="15" x14ac:dyDescent="0.25">
      <c r="DE429" s="489"/>
      <c r="DF429" s="489"/>
      <c r="DG429" s="489"/>
      <c r="DH429" s="431"/>
      <c r="DI429" s="431"/>
      <c r="DJ429" s="431"/>
      <c r="DK429" s="431"/>
      <c r="DL429" s="431"/>
      <c r="DM429" s="431"/>
      <c r="DN429" s="18"/>
      <c r="EH429" s="464"/>
      <c r="EI429" s="439"/>
      <c r="EJ429"/>
      <c r="EK429"/>
      <c r="EL429"/>
      <c r="EM429"/>
      <c r="EN429"/>
      <c r="EO429"/>
      <c r="EV429" s="439">
        <v>1682</v>
      </c>
      <c r="EW429" t="s">
        <v>2620</v>
      </c>
      <c r="EX429" t="s">
        <v>1128</v>
      </c>
      <c r="EY429" t="s">
        <v>2621</v>
      </c>
      <c r="EZ429" t="s">
        <v>54</v>
      </c>
      <c r="FA429">
        <v>55446</v>
      </c>
      <c r="FB429">
        <v>1164474250</v>
      </c>
    </row>
    <row r="430" spans="109:158" ht="15" x14ac:dyDescent="0.25">
      <c r="DE430" s="489"/>
      <c r="DF430" s="489"/>
      <c r="DG430" s="489"/>
      <c r="DH430" s="431"/>
      <c r="DI430" s="431"/>
      <c r="DJ430" s="431"/>
      <c r="DK430" s="431"/>
      <c r="DL430" s="431"/>
      <c r="DM430" s="431"/>
      <c r="DN430" s="18"/>
      <c r="EH430" s="464"/>
      <c r="EI430" s="439"/>
      <c r="EJ430"/>
      <c r="EK430"/>
      <c r="EL430"/>
      <c r="EM430"/>
      <c r="EN430"/>
      <c r="EO430"/>
      <c r="EV430" s="439">
        <v>304</v>
      </c>
      <c r="EW430" t="s">
        <v>3111</v>
      </c>
      <c r="EX430" t="s">
        <v>1128</v>
      </c>
      <c r="EY430" t="s">
        <v>3107</v>
      </c>
      <c r="EZ430" t="s">
        <v>54</v>
      </c>
      <c r="FA430">
        <v>55441</v>
      </c>
      <c r="FB430">
        <v>1598165664</v>
      </c>
    </row>
    <row r="431" spans="109:158" x14ac:dyDescent="0.2">
      <c r="DE431" s="489"/>
      <c r="DF431" s="489"/>
      <c r="DG431" s="489"/>
      <c r="DH431" s="431"/>
      <c r="DI431" s="431"/>
      <c r="DJ431" s="431"/>
      <c r="DK431" s="431"/>
      <c r="DL431" s="431"/>
      <c r="DM431" s="431"/>
      <c r="DN431" s="18"/>
      <c r="EI431" s="439"/>
      <c r="EJ431"/>
      <c r="EK431"/>
      <c r="EL431"/>
      <c r="EM431"/>
      <c r="EN431"/>
      <c r="EO431"/>
      <c r="EV431" s="439">
        <v>854</v>
      </c>
      <c r="EW431" t="s">
        <v>1306</v>
      </c>
      <c r="EX431" t="s">
        <v>1307</v>
      </c>
      <c r="EY431" t="s">
        <v>1308</v>
      </c>
      <c r="EZ431" t="s">
        <v>54</v>
      </c>
      <c r="FA431">
        <v>55371</v>
      </c>
      <c r="FB431"/>
    </row>
    <row r="432" spans="109:158" x14ac:dyDescent="0.2">
      <c r="DE432" s="489"/>
      <c r="DF432" s="489"/>
      <c r="DG432" s="489"/>
      <c r="DH432" s="431"/>
      <c r="DI432" s="431"/>
      <c r="DJ432" s="431"/>
      <c r="DK432" s="431"/>
      <c r="DL432" s="431"/>
      <c r="DM432" s="431"/>
      <c r="DN432" s="18"/>
      <c r="EI432" s="439"/>
      <c r="EJ432"/>
      <c r="EK432"/>
      <c r="EL432"/>
      <c r="EM432"/>
      <c r="EN432"/>
      <c r="EO432"/>
      <c r="EV432" s="439">
        <v>41</v>
      </c>
      <c r="EW432" t="s">
        <v>3112</v>
      </c>
      <c r="EX432" t="s">
        <v>1307</v>
      </c>
      <c r="EY432" t="s">
        <v>1308</v>
      </c>
      <c r="EZ432" t="s">
        <v>54</v>
      </c>
      <c r="FA432">
        <v>55371</v>
      </c>
      <c r="FB432">
        <v>1922085299</v>
      </c>
    </row>
    <row r="433" spans="109:158" x14ac:dyDescent="0.2">
      <c r="DE433" s="489"/>
      <c r="DF433" s="489"/>
      <c r="DG433" s="489"/>
      <c r="DH433" s="431"/>
      <c r="DI433" s="431"/>
      <c r="DJ433" s="431"/>
      <c r="DK433" s="431"/>
      <c r="DL433" s="431"/>
      <c r="DM433" s="431"/>
      <c r="DN433" s="18"/>
      <c r="EI433" s="439"/>
      <c r="EJ433"/>
      <c r="EK433"/>
      <c r="EL433"/>
      <c r="EM433"/>
      <c r="EN433"/>
      <c r="EO433"/>
      <c r="EV433" s="439">
        <v>967</v>
      </c>
      <c r="EW433" t="s">
        <v>3113</v>
      </c>
      <c r="EX433" t="s">
        <v>912</v>
      </c>
      <c r="EY433" t="s">
        <v>3114</v>
      </c>
      <c r="EZ433" t="s">
        <v>54</v>
      </c>
      <c r="FA433">
        <v>55303</v>
      </c>
      <c r="FB433"/>
    </row>
    <row r="434" spans="109:158" x14ac:dyDescent="0.2">
      <c r="DE434" s="489"/>
      <c r="DF434" s="489"/>
      <c r="DG434" s="489"/>
      <c r="DH434" s="431"/>
      <c r="DI434" s="431"/>
      <c r="DJ434" s="431"/>
      <c r="DK434" s="431"/>
      <c r="DL434" s="431"/>
      <c r="DM434" s="431"/>
      <c r="DN434" s="18"/>
      <c r="EI434" s="439"/>
      <c r="EJ434"/>
      <c r="EK434"/>
      <c r="EL434"/>
      <c r="EM434"/>
      <c r="EN434"/>
      <c r="EO434"/>
      <c r="EV434" s="439">
        <v>213</v>
      </c>
      <c r="EW434" t="s">
        <v>3115</v>
      </c>
      <c r="EX434" t="s">
        <v>3116</v>
      </c>
      <c r="EY434" t="s">
        <v>3117</v>
      </c>
      <c r="EZ434" t="s">
        <v>54</v>
      </c>
      <c r="FA434">
        <v>56671</v>
      </c>
      <c r="FB434">
        <v>1508809765</v>
      </c>
    </row>
    <row r="435" spans="109:158" x14ac:dyDescent="0.2">
      <c r="DE435" s="489"/>
      <c r="DF435" s="489"/>
      <c r="DG435" s="489"/>
      <c r="DH435" s="431"/>
      <c r="DI435" s="431"/>
      <c r="DJ435" s="431"/>
      <c r="DK435" s="431"/>
      <c r="DL435" s="431"/>
      <c r="DM435" s="431"/>
      <c r="DN435" s="18"/>
      <c r="EI435" s="439"/>
      <c r="EJ435"/>
      <c r="EK435"/>
      <c r="EL435"/>
      <c r="EM435"/>
      <c r="EN435"/>
      <c r="EO435"/>
      <c r="EV435" s="439">
        <v>138</v>
      </c>
      <c r="EW435" t="s">
        <v>3118</v>
      </c>
      <c r="EX435" t="s">
        <v>3119</v>
      </c>
      <c r="EY435" t="s">
        <v>3120</v>
      </c>
      <c r="EZ435" t="s">
        <v>54</v>
      </c>
      <c r="FA435">
        <v>55066</v>
      </c>
      <c r="FB435">
        <v>1164400024</v>
      </c>
    </row>
    <row r="436" spans="109:158" x14ac:dyDescent="0.2">
      <c r="DE436" s="489"/>
      <c r="DF436" s="489"/>
      <c r="DG436" s="489"/>
      <c r="DH436" s="431"/>
      <c r="DI436" s="431"/>
      <c r="DJ436" s="431"/>
      <c r="DK436" s="431"/>
      <c r="DL436" s="431"/>
      <c r="DM436" s="431"/>
      <c r="DN436" s="432"/>
      <c r="EI436" s="439"/>
      <c r="EJ436"/>
      <c r="EK436"/>
      <c r="EL436"/>
      <c r="EM436"/>
      <c r="EN436"/>
      <c r="EO436"/>
      <c r="EV436" s="439">
        <v>98</v>
      </c>
      <c r="EW436" t="s">
        <v>3121</v>
      </c>
      <c r="EX436" t="s">
        <v>1226</v>
      </c>
      <c r="EY436" t="s">
        <v>3122</v>
      </c>
      <c r="EZ436" t="s">
        <v>54</v>
      </c>
      <c r="FA436">
        <v>56283</v>
      </c>
      <c r="FB436">
        <v>1104818673</v>
      </c>
    </row>
    <row r="437" spans="109:158" x14ac:dyDescent="0.2">
      <c r="DE437" s="489"/>
      <c r="DF437" s="489"/>
      <c r="DG437" s="489"/>
      <c r="DH437" s="431"/>
      <c r="DI437" s="431"/>
      <c r="DJ437" s="431"/>
      <c r="DK437" s="431"/>
      <c r="DL437" s="431"/>
      <c r="DM437" s="431"/>
      <c r="DN437" s="18"/>
      <c r="EI437" s="439"/>
      <c r="EJ437"/>
      <c r="EK437"/>
      <c r="EL437"/>
      <c r="EM437"/>
      <c r="EN437"/>
      <c r="EO437"/>
      <c r="EV437" s="439">
        <v>855</v>
      </c>
      <c r="EW437" t="s">
        <v>1225</v>
      </c>
      <c r="EX437" t="s">
        <v>1226</v>
      </c>
      <c r="EY437" t="s">
        <v>1227</v>
      </c>
      <c r="EZ437" t="s">
        <v>54</v>
      </c>
      <c r="FA437">
        <v>56283</v>
      </c>
      <c r="FB437"/>
    </row>
    <row r="438" spans="109:158" x14ac:dyDescent="0.2">
      <c r="DE438" s="489"/>
      <c r="DF438" s="489"/>
      <c r="DG438" s="489"/>
      <c r="DH438" s="431"/>
      <c r="DI438" s="431"/>
      <c r="DJ438" s="431"/>
      <c r="DK438" s="431"/>
      <c r="DL438" s="431"/>
      <c r="DM438" s="431"/>
      <c r="DN438" s="18"/>
      <c r="EI438" s="439"/>
      <c r="EJ438"/>
      <c r="EK438"/>
      <c r="EL438"/>
      <c r="EM438"/>
      <c r="EN438"/>
      <c r="EO438"/>
      <c r="EV438" s="439">
        <v>1746</v>
      </c>
      <c r="EW438" t="s">
        <v>1801</v>
      </c>
      <c r="EX438" t="s">
        <v>1802</v>
      </c>
      <c r="EY438" t="s">
        <v>1803</v>
      </c>
      <c r="EZ438" t="s">
        <v>1055</v>
      </c>
      <c r="FA438">
        <v>44286</v>
      </c>
      <c r="FB438"/>
    </row>
    <row r="439" spans="109:158" x14ac:dyDescent="0.2">
      <c r="DE439" s="489"/>
      <c r="DF439" s="489"/>
      <c r="DG439" s="489"/>
      <c r="DH439" s="431"/>
      <c r="DI439" s="431"/>
      <c r="DJ439" s="431"/>
      <c r="DK439" s="431"/>
      <c r="DL439" s="431"/>
      <c r="DM439" s="431"/>
      <c r="DN439" s="18"/>
      <c r="EI439" s="439"/>
      <c r="EJ439"/>
      <c r="EK439"/>
      <c r="EL439"/>
      <c r="EM439"/>
      <c r="EN439"/>
      <c r="EO439"/>
      <c r="EV439" s="439">
        <v>1781</v>
      </c>
      <c r="EW439" t="s">
        <v>1815</v>
      </c>
      <c r="EX439" t="s">
        <v>1802</v>
      </c>
      <c r="EY439" t="s">
        <v>1803</v>
      </c>
      <c r="EZ439" t="s">
        <v>1055</v>
      </c>
      <c r="FA439">
        <v>44286</v>
      </c>
      <c r="FB439"/>
    </row>
    <row r="440" spans="109:158" x14ac:dyDescent="0.2">
      <c r="DE440" s="489"/>
      <c r="DF440" s="489"/>
      <c r="DG440" s="489"/>
      <c r="DH440" s="431"/>
      <c r="DI440" s="431"/>
      <c r="DJ440" s="431"/>
      <c r="DK440" s="431"/>
      <c r="DL440" s="431"/>
      <c r="DM440" s="431"/>
      <c r="DN440" s="18"/>
      <c r="EI440" s="439"/>
      <c r="EJ440"/>
      <c r="EK440"/>
      <c r="EL440"/>
      <c r="EM440"/>
      <c r="EN440"/>
      <c r="EO440"/>
      <c r="EV440" s="439">
        <v>786</v>
      </c>
      <c r="EW440" t="s">
        <v>3123</v>
      </c>
      <c r="EX440" t="s">
        <v>3124</v>
      </c>
      <c r="EY440" t="s">
        <v>3125</v>
      </c>
      <c r="EZ440" t="s">
        <v>54</v>
      </c>
      <c r="FA440">
        <v>56368</v>
      </c>
      <c r="FB440"/>
    </row>
    <row r="441" spans="109:158" x14ac:dyDescent="0.2">
      <c r="DE441" s="489"/>
      <c r="DF441" s="489"/>
      <c r="DG441" s="489"/>
      <c r="DH441" s="431"/>
      <c r="DI441" s="431"/>
      <c r="DJ441" s="431"/>
      <c r="DK441" s="431"/>
      <c r="DL441" s="431"/>
      <c r="DM441" s="431"/>
      <c r="DN441" s="18"/>
      <c r="EI441" s="439"/>
      <c r="EJ441"/>
      <c r="EK441"/>
      <c r="EL441"/>
      <c r="EM441"/>
      <c r="EN441"/>
      <c r="EO441"/>
      <c r="EV441" s="439">
        <v>103</v>
      </c>
      <c r="EW441" t="s">
        <v>3126</v>
      </c>
      <c r="EX441" t="s">
        <v>2071</v>
      </c>
      <c r="EY441" t="s">
        <v>3127</v>
      </c>
      <c r="EZ441" t="s">
        <v>54</v>
      </c>
      <c r="FA441">
        <v>55422</v>
      </c>
      <c r="FB441">
        <v>1851344907</v>
      </c>
    </row>
    <row r="442" spans="109:158" x14ac:dyDescent="0.2">
      <c r="DE442" s="489"/>
      <c r="DF442" s="489"/>
      <c r="DG442" s="489"/>
      <c r="DH442" s="431"/>
      <c r="DI442" s="431"/>
      <c r="DJ442" s="431"/>
      <c r="DK442" s="431"/>
      <c r="DL442" s="431"/>
      <c r="DM442" s="431"/>
      <c r="DN442" s="18"/>
      <c r="EI442" s="439"/>
      <c r="EJ442"/>
      <c r="EK442"/>
      <c r="EL442"/>
      <c r="EM442"/>
      <c r="EN442"/>
      <c r="EO442"/>
      <c r="EV442" s="439">
        <v>961</v>
      </c>
      <c r="EW442" t="s">
        <v>3128</v>
      </c>
      <c r="EX442" t="s">
        <v>2071</v>
      </c>
      <c r="EY442" t="s">
        <v>3129</v>
      </c>
      <c r="EZ442" t="s">
        <v>54</v>
      </c>
      <c r="FA442">
        <v>55422</v>
      </c>
      <c r="FB442"/>
    </row>
    <row r="443" spans="109:158" x14ac:dyDescent="0.2">
      <c r="DE443" s="489"/>
      <c r="DF443" s="489"/>
      <c r="DG443" s="489"/>
      <c r="DH443" s="431"/>
      <c r="DI443" s="431"/>
      <c r="DJ443" s="431"/>
      <c r="DK443" s="431"/>
      <c r="DL443" s="431"/>
      <c r="DM443" s="431"/>
      <c r="DN443" s="18"/>
      <c r="EH443" s="485"/>
      <c r="EI443" s="439"/>
      <c r="EJ443"/>
      <c r="EK443"/>
      <c r="EL443"/>
      <c r="EM443"/>
      <c r="EN443"/>
      <c r="EO443"/>
      <c r="EV443" s="439">
        <v>702</v>
      </c>
      <c r="EW443" t="s">
        <v>3130</v>
      </c>
      <c r="EX443" t="s">
        <v>2071</v>
      </c>
      <c r="EY443" t="s">
        <v>3129</v>
      </c>
      <c r="EZ443" t="s">
        <v>54</v>
      </c>
      <c r="FA443"/>
      <c r="FB443"/>
    </row>
    <row r="444" spans="109:158" x14ac:dyDescent="0.2">
      <c r="DE444" s="489"/>
      <c r="DF444" s="489"/>
      <c r="DG444" s="489"/>
      <c r="DH444" s="431"/>
      <c r="DI444" s="431"/>
      <c r="DJ444" s="431"/>
      <c r="DK444" s="431"/>
      <c r="DL444" s="431"/>
      <c r="DM444" s="431"/>
      <c r="DN444" s="18"/>
      <c r="EI444" s="439"/>
      <c r="EJ444"/>
      <c r="EK444"/>
      <c r="EL444"/>
      <c r="EM444"/>
      <c r="EN444"/>
      <c r="EO444"/>
      <c r="EV444" s="439">
        <v>1126</v>
      </c>
      <c r="EW444" t="s">
        <v>2104</v>
      </c>
      <c r="EX444" t="s">
        <v>2071</v>
      </c>
      <c r="EY444" t="s">
        <v>2070</v>
      </c>
      <c r="EZ444" t="s">
        <v>54</v>
      </c>
      <c r="FA444">
        <v>55422</v>
      </c>
      <c r="FB444">
        <v>1598976326</v>
      </c>
    </row>
    <row r="445" spans="109:158" x14ac:dyDescent="0.2">
      <c r="DE445" s="489"/>
      <c r="DF445" s="489"/>
      <c r="DG445" s="489"/>
      <c r="DH445" s="431"/>
      <c r="DI445" s="431"/>
      <c r="DJ445" s="431"/>
      <c r="DK445" s="431"/>
      <c r="DL445" s="431"/>
      <c r="DM445" s="431"/>
      <c r="DN445" s="18"/>
      <c r="EI445" s="439"/>
      <c r="EJ445"/>
      <c r="EK445"/>
      <c r="EL445"/>
      <c r="EM445"/>
      <c r="EN445"/>
      <c r="EO445"/>
      <c r="EV445" s="439">
        <v>578</v>
      </c>
      <c r="EW445" t="s">
        <v>3131</v>
      </c>
      <c r="EX445" t="s">
        <v>1328</v>
      </c>
      <c r="EY445" t="s">
        <v>3132</v>
      </c>
      <c r="EZ445" t="s">
        <v>54</v>
      </c>
      <c r="FA445">
        <v>55903</v>
      </c>
      <c r="FB445"/>
    </row>
    <row r="446" spans="109:158" x14ac:dyDescent="0.2">
      <c r="DE446" s="489"/>
      <c r="DF446" s="489"/>
      <c r="DG446" s="489"/>
      <c r="DH446" s="431"/>
      <c r="DI446" s="431"/>
      <c r="DJ446" s="431"/>
      <c r="DK446" s="431"/>
      <c r="DL446" s="431"/>
      <c r="DM446" s="431"/>
      <c r="DN446" s="18"/>
      <c r="EI446" s="439"/>
      <c r="EJ446"/>
      <c r="EK446"/>
      <c r="EL446"/>
      <c r="EM446"/>
      <c r="EN446"/>
      <c r="EO446"/>
      <c r="EV446" s="439">
        <v>1478</v>
      </c>
      <c r="EW446" t="s">
        <v>1327</v>
      </c>
      <c r="EX446" t="s">
        <v>1328</v>
      </c>
      <c r="EY446" t="s">
        <v>1329</v>
      </c>
      <c r="EZ446" t="s">
        <v>54</v>
      </c>
      <c r="FA446">
        <v>55904</v>
      </c>
      <c r="FB446"/>
    </row>
    <row r="447" spans="109:158" x14ac:dyDescent="0.2">
      <c r="DE447" s="489"/>
      <c r="DF447" s="489"/>
      <c r="DG447" s="489"/>
      <c r="DH447" s="431"/>
      <c r="DI447" s="431"/>
      <c r="DJ447" s="431"/>
      <c r="DK447" s="431"/>
      <c r="DL447" s="431"/>
      <c r="DM447" s="431"/>
      <c r="DN447" s="18"/>
      <c r="EI447" s="439"/>
      <c r="EJ447"/>
      <c r="EK447"/>
      <c r="EL447"/>
      <c r="EM447"/>
      <c r="EN447"/>
      <c r="EO447"/>
      <c r="EV447" s="439">
        <v>251</v>
      </c>
      <c r="EW447" t="s">
        <v>3133</v>
      </c>
      <c r="EX447" t="s">
        <v>1328</v>
      </c>
      <c r="EY447" t="s">
        <v>3134</v>
      </c>
      <c r="EZ447" t="s">
        <v>54</v>
      </c>
      <c r="FA447">
        <v>55904</v>
      </c>
      <c r="FB447">
        <v>1669418851</v>
      </c>
    </row>
    <row r="448" spans="109:158" x14ac:dyDescent="0.2">
      <c r="DE448" s="489"/>
      <c r="DF448" s="489"/>
      <c r="DG448" s="489"/>
      <c r="DH448" s="431"/>
      <c r="DI448" s="431"/>
      <c r="DJ448" s="431"/>
      <c r="DK448" s="431"/>
      <c r="DL448" s="431"/>
      <c r="DM448" s="431"/>
      <c r="DN448" s="18"/>
      <c r="EI448" s="439"/>
      <c r="EJ448"/>
      <c r="EK448"/>
      <c r="EL448"/>
      <c r="EM448"/>
      <c r="EN448"/>
      <c r="EO448"/>
      <c r="EV448" s="439">
        <v>712</v>
      </c>
      <c r="EW448" t="s">
        <v>3135</v>
      </c>
      <c r="EX448" t="s">
        <v>1328</v>
      </c>
      <c r="EY448" t="s">
        <v>3136</v>
      </c>
      <c r="EZ448" t="s">
        <v>54</v>
      </c>
      <c r="FA448"/>
      <c r="FB448"/>
    </row>
    <row r="449" spans="1:158" x14ac:dyDescent="0.2">
      <c r="DE449" s="489"/>
      <c r="DF449" s="489"/>
      <c r="DG449" s="489"/>
      <c r="DH449" s="431"/>
      <c r="DI449" s="431"/>
      <c r="DJ449" s="431"/>
      <c r="DK449" s="431"/>
      <c r="DL449" s="431"/>
      <c r="DM449" s="431"/>
      <c r="DN449" s="18"/>
      <c r="EI449" s="439"/>
      <c r="EJ449"/>
      <c r="EK449"/>
      <c r="EL449"/>
      <c r="EM449"/>
      <c r="EN449"/>
      <c r="EO449"/>
      <c r="EV449" s="439">
        <v>782</v>
      </c>
      <c r="EW449" t="s">
        <v>1878</v>
      </c>
      <c r="EX449" t="s">
        <v>1328</v>
      </c>
      <c r="EY449" t="s">
        <v>1879</v>
      </c>
      <c r="EZ449" t="s">
        <v>54</v>
      </c>
      <c r="FA449">
        <v>55905</v>
      </c>
      <c r="FB449">
        <v>1922074434</v>
      </c>
    </row>
    <row r="450" spans="1:158" x14ac:dyDescent="0.2">
      <c r="DE450" s="489"/>
      <c r="DF450" s="489"/>
      <c r="DG450" s="489"/>
      <c r="DH450" s="431"/>
      <c r="DI450" s="431"/>
      <c r="DJ450" s="431"/>
      <c r="DK450" s="431"/>
      <c r="DL450" s="431"/>
      <c r="DM450" s="431"/>
      <c r="DN450" s="18"/>
      <c r="EI450" s="439"/>
      <c r="EJ450"/>
      <c r="EK450"/>
      <c r="EL450"/>
      <c r="EM450"/>
      <c r="EN450"/>
      <c r="EO450"/>
      <c r="EV450" s="439">
        <v>783</v>
      </c>
      <c r="EW450" t="s">
        <v>1900</v>
      </c>
      <c r="EX450" t="s">
        <v>1328</v>
      </c>
      <c r="EY450" t="s">
        <v>1901</v>
      </c>
      <c r="EZ450" t="s">
        <v>54</v>
      </c>
      <c r="FA450">
        <v>55905</v>
      </c>
      <c r="FB450">
        <v>1922074434</v>
      </c>
    </row>
    <row r="451" spans="1:158" x14ac:dyDescent="0.2">
      <c r="DE451" s="489"/>
      <c r="DF451" s="489"/>
      <c r="DG451" s="489"/>
      <c r="DH451" s="431"/>
      <c r="DI451" s="431"/>
      <c r="DJ451" s="431"/>
      <c r="DK451" s="431"/>
      <c r="DL451" s="431"/>
      <c r="DM451" s="431"/>
      <c r="DN451" s="18"/>
      <c r="EI451" s="439"/>
      <c r="EJ451"/>
      <c r="EK451"/>
      <c r="EL451"/>
      <c r="EM451"/>
      <c r="EN451"/>
      <c r="EO451"/>
      <c r="EV451" s="439">
        <v>145</v>
      </c>
      <c r="EW451" t="s">
        <v>3137</v>
      </c>
      <c r="EX451" t="s">
        <v>1328</v>
      </c>
      <c r="EY451" t="s">
        <v>3138</v>
      </c>
      <c r="EZ451" t="s">
        <v>54</v>
      </c>
      <c r="FA451">
        <v>55902</v>
      </c>
      <c r="FB451">
        <v>1841266194</v>
      </c>
    </row>
    <row r="452" spans="1:158" x14ac:dyDescent="0.2">
      <c r="DE452" s="489"/>
      <c r="DF452" s="489"/>
      <c r="DG452" s="489"/>
      <c r="DH452" s="431"/>
      <c r="DI452" s="431"/>
      <c r="DJ452" s="431"/>
      <c r="DK452" s="431"/>
      <c r="DL452" s="431"/>
      <c r="DM452" s="431"/>
      <c r="DN452" s="18"/>
      <c r="EI452" s="439"/>
      <c r="EJ452"/>
      <c r="EK452"/>
      <c r="EL452"/>
      <c r="EM452"/>
      <c r="EN452"/>
      <c r="EO452"/>
      <c r="EV452" s="439">
        <v>120</v>
      </c>
      <c r="EW452" t="s">
        <v>3139</v>
      </c>
      <c r="EX452" t="s">
        <v>1328</v>
      </c>
      <c r="EY452" t="s">
        <v>3140</v>
      </c>
      <c r="EZ452" t="s">
        <v>54</v>
      </c>
      <c r="FA452">
        <v>55902</v>
      </c>
      <c r="FB452">
        <v>1649246828</v>
      </c>
    </row>
    <row r="453" spans="1:158" x14ac:dyDescent="0.2">
      <c r="DE453" s="489"/>
      <c r="DF453" s="489"/>
      <c r="DG453" s="489"/>
      <c r="DH453" s="431"/>
      <c r="DI453" s="431"/>
      <c r="DJ453" s="431"/>
      <c r="DK453" s="431"/>
      <c r="DL453" s="431"/>
      <c r="DM453" s="431"/>
      <c r="DN453" s="18"/>
      <c r="EI453" s="439"/>
      <c r="EJ453"/>
      <c r="EK453"/>
      <c r="EL453"/>
      <c r="EM453"/>
      <c r="EN453"/>
      <c r="EO453"/>
      <c r="EV453" s="439">
        <v>1174</v>
      </c>
      <c r="EW453" t="s">
        <v>1904</v>
      </c>
      <c r="EX453" t="s">
        <v>1328</v>
      </c>
      <c r="EY453" t="s">
        <v>1905</v>
      </c>
      <c r="EZ453" t="s">
        <v>54</v>
      </c>
      <c r="FA453">
        <v>55901</v>
      </c>
      <c r="FB453">
        <v>1922074434</v>
      </c>
    </row>
    <row r="454" spans="1:158" x14ac:dyDescent="0.2">
      <c r="DE454" s="489"/>
      <c r="DF454" s="489"/>
      <c r="DG454" s="489"/>
      <c r="DH454" s="431"/>
      <c r="DI454" s="431"/>
      <c r="DJ454" s="431"/>
      <c r="DK454" s="431"/>
      <c r="DL454" s="431"/>
      <c r="DM454" s="431"/>
      <c r="DN454" s="18"/>
      <c r="EI454" s="439"/>
      <c r="EJ454"/>
      <c r="EK454"/>
      <c r="EL454"/>
      <c r="EM454"/>
      <c r="EN454"/>
      <c r="EO454"/>
      <c r="EV454" s="439">
        <v>794</v>
      </c>
      <c r="EW454" t="s">
        <v>1906</v>
      </c>
      <c r="EX454" t="s">
        <v>1328</v>
      </c>
      <c r="EY454" t="s">
        <v>1880</v>
      </c>
      <c r="EZ454" t="s">
        <v>54</v>
      </c>
      <c r="FA454">
        <v>55095</v>
      </c>
      <c r="FB454">
        <v>1922074434</v>
      </c>
    </row>
    <row r="455" spans="1:158" x14ac:dyDescent="0.2">
      <c r="DE455" s="489"/>
      <c r="DF455" s="489"/>
      <c r="DG455" s="489"/>
      <c r="DH455" s="431"/>
      <c r="DI455" s="431"/>
      <c r="DJ455" s="431"/>
      <c r="DK455" s="431"/>
      <c r="DL455" s="431"/>
      <c r="DM455" s="431"/>
      <c r="DN455" s="18"/>
      <c r="EI455" s="439"/>
      <c r="EJ455"/>
      <c r="EK455"/>
      <c r="EL455"/>
      <c r="EM455"/>
      <c r="EN455"/>
      <c r="EO455"/>
      <c r="EV455" s="439">
        <v>107</v>
      </c>
      <c r="EW455" t="s">
        <v>3141</v>
      </c>
      <c r="EX455" t="s">
        <v>1328</v>
      </c>
      <c r="EY455" t="s">
        <v>1329</v>
      </c>
      <c r="EZ455" t="s">
        <v>54</v>
      </c>
      <c r="FA455">
        <v>55904</v>
      </c>
      <c r="FB455">
        <v>1538112131</v>
      </c>
    </row>
    <row r="456" spans="1:158" x14ac:dyDescent="0.2">
      <c r="DE456" s="489"/>
      <c r="DF456" s="489"/>
      <c r="DG456" s="489"/>
      <c r="DH456" s="431"/>
      <c r="DI456" s="431"/>
      <c r="DJ456" s="431"/>
      <c r="DK456" s="431"/>
      <c r="DL456" s="431"/>
      <c r="DM456" s="431"/>
      <c r="DN456" s="18"/>
      <c r="EI456" s="439"/>
      <c r="EJ456"/>
      <c r="EK456"/>
      <c r="EL456"/>
      <c r="EM456"/>
      <c r="EN456"/>
      <c r="EO456"/>
      <c r="EV456" s="439">
        <v>1368</v>
      </c>
      <c r="EW456" t="s">
        <v>3142</v>
      </c>
      <c r="EX456" t="s">
        <v>1328</v>
      </c>
      <c r="EY456" t="s">
        <v>3143</v>
      </c>
      <c r="EZ456" t="s">
        <v>54</v>
      </c>
      <c r="FA456">
        <v>55901</v>
      </c>
      <c r="FB456"/>
    </row>
    <row r="457" spans="1:158" x14ac:dyDescent="0.2">
      <c r="DE457" s="489"/>
      <c r="DF457" s="489"/>
      <c r="DG457" s="489"/>
      <c r="DH457" s="431"/>
      <c r="DI457" s="431"/>
      <c r="DJ457" s="431"/>
      <c r="DK457" s="431"/>
      <c r="DL457" s="431"/>
      <c r="DM457" s="431"/>
      <c r="DN457" s="18"/>
      <c r="EI457" s="439"/>
      <c r="EJ457"/>
      <c r="EK457"/>
      <c r="EL457"/>
      <c r="EM457"/>
      <c r="EN457"/>
      <c r="EO457"/>
      <c r="EV457" s="439">
        <v>856</v>
      </c>
      <c r="EW457" t="s">
        <v>1299</v>
      </c>
      <c r="EX457" t="s">
        <v>1300</v>
      </c>
      <c r="EY457" t="s">
        <v>1301</v>
      </c>
      <c r="EZ457" t="s">
        <v>54</v>
      </c>
      <c r="FA457">
        <v>56751</v>
      </c>
      <c r="FB457"/>
    </row>
    <row r="458" spans="1:158" x14ac:dyDescent="0.2">
      <c r="DE458" s="489"/>
      <c r="DF458" s="489"/>
      <c r="DG458" s="489"/>
      <c r="DH458" s="431"/>
      <c r="DI458" s="431"/>
      <c r="DJ458" s="431"/>
      <c r="DK458" s="431"/>
      <c r="DL458" s="431"/>
      <c r="DM458" s="431"/>
      <c r="DN458" s="18"/>
      <c r="EI458" s="439"/>
      <c r="EJ458"/>
      <c r="EK458"/>
      <c r="EL458"/>
      <c r="EM458"/>
      <c r="EN458"/>
      <c r="EO458"/>
      <c r="EV458" s="439">
        <v>121</v>
      </c>
      <c r="EW458" t="s">
        <v>3144</v>
      </c>
      <c r="EX458" t="s">
        <v>1300</v>
      </c>
      <c r="EY458" t="s">
        <v>1301</v>
      </c>
      <c r="EZ458" t="s">
        <v>54</v>
      </c>
      <c r="FA458">
        <v>56751</v>
      </c>
      <c r="FB458">
        <v>1609861095</v>
      </c>
    </row>
    <row r="459" spans="1:158" s="433" customFormat="1" x14ac:dyDescent="0.2">
      <c r="A459" s="91"/>
      <c r="B459" s="92"/>
      <c r="C459" s="92"/>
      <c r="D459" s="92"/>
      <c r="E459" s="92"/>
      <c r="F459" s="92"/>
      <c r="G459" s="92"/>
      <c r="H459" s="92"/>
      <c r="I459" s="92"/>
      <c r="J459" s="92"/>
      <c r="K459" s="92"/>
      <c r="L459" s="92"/>
      <c r="M459" s="92"/>
      <c r="N459" s="92"/>
      <c r="O459" s="92"/>
      <c r="P459" s="92"/>
      <c r="Q459" s="92"/>
      <c r="R459" s="92"/>
      <c r="S459" s="92"/>
      <c r="T459" s="92"/>
      <c r="U459" s="92"/>
      <c r="V459" s="92"/>
      <c r="W459" s="92"/>
      <c r="X459" s="437"/>
      <c r="Y459" s="92"/>
      <c r="Z459" s="92"/>
      <c r="AA459" s="92"/>
      <c r="AB459" s="92"/>
      <c r="AC459" s="92"/>
      <c r="AD459" s="92"/>
      <c r="AE459" s="92"/>
      <c r="AF459" s="92"/>
      <c r="AG459" s="92"/>
      <c r="AH459" s="92"/>
      <c r="AI459" s="92"/>
      <c r="AJ459" s="92"/>
      <c r="AK459" s="92"/>
      <c r="AL459" s="92"/>
      <c r="AM459" s="92"/>
      <c r="AN459" s="92"/>
      <c r="AO459" s="92"/>
      <c r="AP459" s="92"/>
      <c r="AQ459" s="92"/>
      <c r="AR459" s="92"/>
      <c r="AS459" s="92"/>
      <c r="AT459" s="92"/>
      <c r="AU459" s="92"/>
      <c r="AV459" s="92"/>
      <c r="AW459" s="92"/>
      <c r="AX459" s="92"/>
      <c r="AY459" s="92"/>
      <c r="AZ459" s="92"/>
      <c r="BA459" s="92"/>
      <c r="BB459" s="92"/>
      <c r="BC459" s="92"/>
      <c r="BD459" s="92"/>
      <c r="BE459" s="92"/>
      <c r="BF459" s="92"/>
      <c r="BG459" s="92"/>
      <c r="BH459" s="92"/>
      <c r="BI459" s="92"/>
      <c r="BJ459" s="92"/>
      <c r="BK459" s="92"/>
      <c r="BL459" s="92"/>
      <c r="BM459" s="92"/>
      <c r="BN459" s="92"/>
      <c r="BO459" s="92"/>
      <c r="BP459" s="92"/>
      <c r="BQ459" s="92"/>
      <c r="BR459" s="92"/>
      <c r="BS459" s="92"/>
      <c r="BT459" s="92"/>
      <c r="BU459" s="438"/>
      <c r="BV459" s="92"/>
      <c r="BW459" s="92"/>
      <c r="BX459" s="92"/>
      <c r="BY459" s="92"/>
      <c r="BZ459" s="92"/>
      <c r="CA459" s="92"/>
      <c r="CB459" s="92"/>
      <c r="CC459" s="92"/>
      <c r="CD459" s="92"/>
      <c r="CE459" s="92"/>
      <c r="CF459" s="92"/>
      <c r="CG459" s="18"/>
      <c r="CH459" s="18"/>
      <c r="CI459" s="18"/>
      <c r="CJ459" s="18"/>
      <c r="CK459" s="18"/>
      <c r="CL459" s="91"/>
      <c r="CM459" s="92"/>
      <c r="CN459" s="92"/>
      <c r="CO459" s="92"/>
      <c r="CP459" s="92"/>
      <c r="CQ459" s="92"/>
      <c r="CR459" s="92"/>
      <c r="CS459" s="92"/>
      <c r="CT459" s="92"/>
      <c r="CU459" s="92"/>
      <c r="CV459" s="92"/>
      <c r="CW459" s="92"/>
      <c r="CX459" s="92"/>
      <c r="CY459" s="92"/>
      <c r="CZ459" s="92"/>
      <c r="DA459" s="92"/>
      <c r="DB459" s="92"/>
      <c r="DC459" s="92"/>
      <c r="DD459" s="92"/>
      <c r="DE459" s="489"/>
      <c r="DF459" s="489"/>
      <c r="DG459" s="489"/>
      <c r="DH459" s="431"/>
      <c r="DI459" s="431"/>
      <c r="DJ459" s="431"/>
      <c r="DK459" s="431"/>
      <c r="DL459" s="431"/>
      <c r="DM459" s="431"/>
      <c r="DN459" s="18"/>
      <c r="DO459" s="92"/>
      <c r="DP459" s="92"/>
      <c r="DQ459" s="92"/>
      <c r="DR459" s="92"/>
      <c r="DS459" s="92"/>
      <c r="DT459" s="92"/>
      <c r="DU459" s="92"/>
      <c r="DV459" s="92"/>
      <c r="DW459" s="92"/>
      <c r="DX459" s="92"/>
      <c r="DY459" s="92"/>
      <c r="DZ459" s="92"/>
      <c r="EA459" s="92"/>
      <c r="EB459" s="92"/>
      <c r="EC459" s="92"/>
      <c r="ED459" s="92"/>
      <c r="EE459" s="92"/>
      <c r="EF459" s="92"/>
      <c r="EG459" s="92"/>
      <c r="EH459" s="92"/>
      <c r="EI459" s="439"/>
      <c r="EJ459"/>
      <c r="EK459"/>
      <c r="EL459"/>
      <c r="EM459"/>
      <c r="EN459"/>
      <c r="EO459"/>
      <c r="EV459" s="439">
        <v>761</v>
      </c>
      <c r="EW459" t="s">
        <v>2409</v>
      </c>
      <c r="EX459" t="s">
        <v>1300</v>
      </c>
      <c r="EY459" t="s">
        <v>1301</v>
      </c>
      <c r="EZ459" t="s">
        <v>54</v>
      </c>
      <c r="FA459">
        <v>56726</v>
      </c>
      <c r="FB459">
        <v>1679528194</v>
      </c>
    </row>
    <row r="460" spans="1:158" x14ac:dyDescent="0.2">
      <c r="DE460" s="489"/>
      <c r="DF460" s="489"/>
      <c r="DG460" s="489"/>
      <c r="DH460" s="431"/>
      <c r="DI460" s="431"/>
      <c r="DJ460" s="431"/>
      <c r="DK460" s="431"/>
      <c r="DL460" s="431"/>
      <c r="DM460" s="431"/>
      <c r="DN460" s="18"/>
      <c r="EI460" s="439"/>
      <c r="EJ460"/>
      <c r="EK460"/>
      <c r="EL460"/>
      <c r="EM460"/>
      <c r="EN460"/>
      <c r="EO460"/>
      <c r="EV460" s="439">
        <v>1216</v>
      </c>
      <c r="EW460" t="s">
        <v>1132</v>
      </c>
      <c r="EX460" t="s">
        <v>1133</v>
      </c>
      <c r="EY460" t="s">
        <v>1134</v>
      </c>
      <c r="EZ460" t="s">
        <v>54</v>
      </c>
      <c r="FA460">
        <v>55113</v>
      </c>
      <c r="FB460">
        <v>1659348092</v>
      </c>
    </row>
    <row r="461" spans="1:158" x14ac:dyDescent="0.2">
      <c r="DE461" s="489"/>
      <c r="DF461" s="489"/>
      <c r="DG461" s="489"/>
      <c r="DH461" s="431"/>
      <c r="DI461" s="431"/>
      <c r="DJ461" s="431"/>
      <c r="DK461" s="431"/>
      <c r="DL461" s="431"/>
      <c r="DM461" s="431"/>
      <c r="DN461" s="18"/>
      <c r="EI461" s="439"/>
      <c r="EJ461"/>
      <c r="EK461"/>
      <c r="EL461"/>
      <c r="EM461"/>
      <c r="EN461"/>
      <c r="EO461"/>
      <c r="EV461" s="439">
        <v>124</v>
      </c>
      <c r="EW461" t="s">
        <v>3145</v>
      </c>
      <c r="EX461" t="s">
        <v>3146</v>
      </c>
      <c r="EY461" t="s">
        <v>3147</v>
      </c>
      <c r="EZ461" t="s">
        <v>54</v>
      </c>
      <c r="FA461">
        <v>55072</v>
      </c>
      <c r="FB461">
        <v>1568540847</v>
      </c>
    </row>
    <row r="462" spans="1:158" x14ac:dyDescent="0.2">
      <c r="DE462" s="489"/>
      <c r="DF462" s="489"/>
      <c r="DG462" s="489"/>
      <c r="DH462" s="431"/>
      <c r="DI462" s="431"/>
      <c r="DJ462" s="431"/>
      <c r="DK462" s="431"/>
      <c r="DL462" s="431"/>
      <c r="DM462" s="431"/>
      <c r="DN462" s="18"/>
      <c r="EI462" s="439"/>
      <c r="EJ462"/>
      <c r="EK462"/>
      <c r="EL462"/>
      <c r="EM462"/>
      <c r="EN462"/>
      <c r="EO462"/>
      <c r="EV462" s="439">
        <v>419</v>
      </c>
      <c r="EW462" t="s">
        <v>3148</v>
      </c>
      <c r="EX462" t="s">
        <v>1419</v>
      </c>
      <c r="EY462" t="s">
        <v>3149</v>
      </c>
      <c r="EZ462" t="s">
        <v>54</v>
      </c>
      <c r="FA462">
        <v>56377</v>
      </c>
      <c r="FB462">
        <v>1871104836</v>
      </c>
    </row>
    <row r="463" spans="1:158" x14ac:dyDescent="0.2">
      <c r="DE463" s="489"/>
      <c r="DF463" s="489"/>
      <c r="DG463" s="489"/>
      <c r="DH463" s="431"/>
      <c r="DI463" s="431"/>
      <c r="DJ463" s="431"/>
      <c r="DK463" s="431"/>
      <c r="DL463" s="431"/>
      <c r="DM463" s="431"/>
      <c r="DN463" s="18"/>
      <c r="EI463" s="439"/>
      <c r="EJ463"/>
      <c r="EK463"/>
      <c r="EL463"/>
      <c r="EM463"/>
      <c r="EN463"/>
      <c r="EO463"/>
      <c r="EV463" s="439">
        <v>1435</v>
      </c>
      <c r="EW463" t="s">
        <v>1418</v>
      </c>
      <c r="EX463" t="s">
        <v>1419</v>
      </c>
      <c r="EY463" t="s">
        <v>1420</v>
      </c>
      <c r="EZ463" t="s">
        <v>54</v>
      </c>
      <c r="FA463">
        <v>56377</v>
      </c>
      <c r="FB463">
        <v>1598710477</v>
      </c>
    </row>
    <row r="464" spans="1:158" x14ac:dyDescent="0.2">
      <c r="DE464" s="489"/>
      <c r="DF464" s="489"/>
      <c r="DG464" s="489"/>
      <c r="DH464" s="431"/>
      <c r="DI464" s="431"/>
      <c r="DJ464" s="431"/>
      <c r="DK464" s="431"/>
      <c r="DL464" s="431"/>
      <c r="DM464" s="431"/>
      <c r="DN464" s="18"/>
      <c r="EI464" s="439"/>
      <c r="EJ464"/>
      <c r="EK464"/>
      <c r="EL464"/>
      <c r="EM464"/>
      <c r="EN464"/>
      <c r="EO464"/>
      <c r="EV464" s="439">
        <v>1017</v>
      </c>
      <c r="EW464" t="s">
        <v>1766</v>
      </c>
      <c r="EX464" t="s">
        <v>1419</v>
      </c>
      <c r="EY464" t="s">
        <v>1767</v>
      </c>
      <c r="EZ464" t="s">
        <v>54</v>
      </c>
      <c r="FA464">
        <v>56303</v>
      </c>
      <c r="FB464">
        <v>1013056969</v>
      </c>
    </row>
    <row r="465" spans="1:158" x14ac:dyDescent="0.2">
      <c r="DE465" s="489"/>
      <c r="DF465" s="489"/>
      <c r="DG465" s="489"/>
      <c r="DH465" s="431"/>
      <c r="DI465" s="431"/>
      <c r="DJ465" s="431"/>
      <c r="DK465" s="431"/>
      <c r="DL465" s="431"/>
      <c r="DM465" s="431"/>
      <c r="DN465" s="18"/>
      <c r="EI465" s="439"/>
      <c r="EJ465"/>
      <c r="EK465"/>
      <c r="EL465"/>
      <c r="EM465"/>
      <c r="EN465"/>
      <c r="EO465"/>
      <c r="EV465" s="439">
        <v>655</v>
      </c>
      <c r="EW465" t="s">
        <v>2274</v>
      </c>
      <c r="EX465" t="s">
        <v>1419</v>
      </c>
      <c r="EY465" t="s">
        <v>2275</v>
      </c>
      <c r="EZ465" t="s">
        <v>54</v>
      </c>
      <c r="FA465">
        <v>56377</v>
      </c>
      <c r="FB465">
        <v>1659348092</v>
      </c>
    </row>
    <row r="466" spans="1:158" x14ac:dyDescent="0.2">
      <c r="DE466" s="489"/>
      <c r="DF466" s="489"/>
      <c r="DG466" s="489"/>
      <c r="DH466" s="431"/>
      <c r="DI466" s="431"/>
      <c r="DJ466" s="431"/>
      <c r="DK466" s="431"/>
      <c r="DL466" s="431"/>
      <c r="DM466" s="431"/>
      <c r="DN466" s="18"/>
      <c r="EI466" s="439"/>
      <c r="EJ466"/>
      <c r="EK466"/>
      <c r="EL466"/>
      <c r="EM466"/>
      <c r="EN466"/>
      <c r="EO466"/>
      <c r="EV466" s="439">
        <v>733</v>
      </c>
      <c r="EW466" t="s">
        <v>2457</v>
      </c>
      <c r="EX466" t="s">
        <v>1419</v>
      </c>
      <c r="EY466" t="s">
        <v>2275</v>
      </c>
      <c r="EZ466" t="s">
        <v>54</v>
      </c>
      <c r="FA466">
        <v>56377</v>
      </c>
      <c r="FB466">
        <v>1083638761</v>
      </c>
    </row>
    <row r="467" spans="1:158" x14ac:dyDescent="0.2">
      <c r="DE467" s="489"/>
      <c r="DF467" s="489"/>
      <c r="DG467" s="489"/>
      <c r="DH467" s="431"/>
      <c r="DI467" s="431"/>
      <c r="DJ467" s="431"/>
      <c r="DK467" s="431"/>
      <c r="DL467" s="431"/>
      <c r="DM467" s="431"/>
      <c r="DN467" s="18"/>
      <c r="EI467" s="439"/>
      <c r="EJ467"/>
      <c r="EK467"/>
      <c r="EL467"/>
      <c r="EM467"/>
      <c r="EN467"/>
      <c r="EO467"/>
      <c r="EV467" s="439">
        <v>149</v>
      </c>
      <c r="EW467" t="s">
        <v>3150</v>
      </c>
      <c r="EX467" t="s">
        <v>1248</v>
      </c>
      <c r="EY467" t="s">
        <v>1249</v>
      </c>
      <c r="EZ467" t="s">
        <v>54</v>
      </c>
      <c r="FA467">
        <v>56378</v>
      </c>
      <c r="FB467">
        <v>1740553932</v>
      </c>
    </row>
    <row r="468" spans="1:158" x14ac:dyDescent="0.2">
      <c r="DE468" s="489"/>
      <c r="DF468" s="489"/>
      <c r="DG468" s="489"/>
      <c r="DH468" s="431"/>
      <c r="DI468" s="431"/>
      <c r="DJ468" s="431"/>
      <c r="DK468" s="431"/>
      <c r="DL468" s="431"/>
      <c r="DM468" s="431"/>
      <c r="DN468" s="18"/>
      <c r="EI468" s="439"/>
      <c r="EJ468"/>
      <c r="EK468"/>
      <c r="EL468"/>
      <c r="EM468"/>
      <c r="EN468"/>
      <c r="EO468"/>
      <c r="EV468" s="439">
        <v>857</v>
      </c>
      <c r="EW468" t="s">
        <v>1247</v>
      </c>
      <c r="EX468" t="s">
        <v>1248</v>
      </c>
      <c r="EY468" t="s">
        <v>1249</v>
      </c>
      <c r="EZ468" t="s">
        <v>54</v>
      </c>
      <c r="FA468">
        <v>56378</v>
      </c>
      <c r="FB468"/>
    </row>
    <row r="469" spans="1:158" x14ac:dyDescent="0.2">
      <c r="DE469" s="489"/>
      <c r="DF469" s="489"/>
      <c r="DG469" s="489"/>
      <c r="DH469" s="431"/>
      <c r="DI469" s="431"/>
      <c r="DJ469" s="431"/>
      <c r="DK469" s="431"/>
      <c r="DL469" s="431"/>
      <c r="DM469" s="431"/>
      <c r="DN469" s="18"/>
      <c r="EI469" s="439"/>
      <c r="EJ469"/>
      <c r="EK469"/>
      <c r="EL469"/>
      <c r="EM469"/>
      <c r="EN469"/>
      <c r="EO469"/>
      <c r="EV469" s="439">
        <v>1859</v>
      </c>
      <c r="EW469" t="s">
        <v>3151</v>
      </c>
      <c r="EX469" t="s">
        <v>1794</v>
      </c>
      <c r="EY469" t="s">
        <v>2123</v>
      </c>
      <c r="EZ469" t="s">
        <v>54</v>
      </c>
      <c r="FA469">
        <v>55378</v>
      </c>
      <c r="FB469">
        <v>1376127332</v>
      </c>
    </row>
    <row r="470" spans="1:158" x14ac:dyDescent="0.2">
      <c r="DE470" s="489"/>
      <c r="DF470" s="489"/>
      <c r="DG470" s="489"/>
      <c r="DH470" s="431"/>
      <c r="DI470" s="431"/>
      <c r="DJ470" s="431"/>
      <c r="DK470" s="431"/>
      <c r="DL470" s="431"/>
      <c r="DM470" s="431"/>
      <c r="DN470" s="18"/>
      <c r="EI470" s="439"/>
      <c r="EJ470"/>
      <c r="EK470"/>
      <c r="EL470"/>
      <c r="EM470"/>
      <c r="EN470"/>
      <c r="EO470"/>
      <c r="EV470" s="439">
        <v>1230</v>
      </c>
      <c r="EW470" t="s">
        <v>3152</v>
      </c>
      <c r="EX470" t="s">
        <v>1794</v>
      </c>
      <c r="EY470" t="s">
        <v>3153</v>
      </c>
      <c r="EZ470" t="s">
        <v>54</v>
      </c>
      <c r="FA470">
        <v>55378</v>
      </c>
      <c r="FB470"/>
    </row>
    <row r="471" spans="1:158" x14ac:dyDescent="0.2">
      <c r="DE471" s="489"/>
      <c r="DF471" s="489"/>
      <c r="DG471" s="489"/>
      <c r="DH471" s="431"/>
      <c r="DI471" s="431"/>
      <c r="DJ471" s="431"/>
      <c r="DK471" s="431"/>
      <c r="DL471" s="431"/>
      <c r="DM471" s="431"/>
      <c r="DN471" s="18"/>
      <c r="EI471" s="439"/>
      <c r="EJ471"/>
      <c r="EK471"/>
      <c r="EL471"/>
      <c r="EM471"/>
      <c r="EN471"/>
      <c r="EO471"/>
      <c r="EV471" s="439">
        <v>1455</v>
      </c>
      <c r="EW471" t="s">
        <v>1793</v>
      </c>
      <c r="EX471" t="s">
        <v>1794</v>
      </c>
      <c r="EY471" t="s">
        <v>1795</v>
      </c>
      <c r="EZ471" t="s">
        <v>54</v>
      </c>
      <c r="FA471">
        <v>55378</v>
      </c>
      <c r="FB471">
        <v>1285711663</v>
      </c>
    </row>
    <row r="472" spans="1:158" x14ac:dyDescent="0.2">
      <c r="DE472" s="489"/>
      <c r="DF472" s="489"/>
      <c r="DG472" s="489"/>
      <c r="DH472" s="431"/>
      <c r="DI472" s="431"/>
      <c r="DJ472" s="431"/>
      <c r="DK472" s="431"/>
      <c r="DL472" s="431"/>
      <c r="DM472" s="431"/>
      <c r="DN472" s="18"/>
      <c r="EI472" s="439"/>
      <c r="EJ472"/>
      <c r="EK472"/>
      <c r="EL472"/>
      <c r="EM472"/>
      <c r="EN472"/>
      <c r="EO472"/>
      <c r="EV472" s="439">
        <v>1102</v>
      </c>
      <c r="EW472" t="s">
        <v>2122</v>
      </c>
      <c r="EX472" t="s">
        <v>1794</v>
      </c>
      <c r="EY472" t="s">
        <v>2123</v>
      </c>
      <c r="EZ472" t="s">
        <v>54</v>
      </c>
      <c r="FA472">
        <v>55378</v>
      </c>
      <c r="FB472">
        <v>1720206428</v>
      </c>
    </row>
    <row r="473" spans="1:158" x14ac:dyDescent="0.2">
      <c r="DE473" s="489"/>
      <c r="DF473" s="489"/>
      <c r="DG473" s="489"/>
      <c r="DH473" s="431"/>
      <c r="DI473" s="431"/>
      <c r="DJ473" s="431"/>
      <c r="DK473" s="431"/>
      <c r="DL473" s="431"/>
      <c r="DM473" s="431"/>
      <c r="DN473" s="18"/>
      <c r="EI473" s="439"/>
      <c r="EJ473"/>
      <c r="EK473"/>
      <c r="EL473"/>
      <c r="EM473"/>
      <c r="EN473"/>
      <c r="EO473"/>
      <c r="EV473" s="439">
        <v>1472</v>
      </c>
      <c r="EW473" t="s">
        <v>2246</v>
      </c>
      <c r="EX473" t="s">
        <v>1794</v>
      </c>
      <c r="EY473" t="s">
        <v>2247</v>
      </c>
      <c r="EZ473" t="s">
        <v>54</v>
      </c>
      <c r="FA473">
        <v>55378</v>
      </c>
      <c r="FB473">
        <v>1386374593</v>
      </c>
    </row>
    <row r="474" spans="1:158" x14ac:dyDescent="0.2">
      <c r="DE474" s="489"/>
      <c r="DF474" s="489"/>
      <c r="DG474" s="489"/>
      <c r="DH474" s="431"/>
      <c r="DI474" s="431"/>
      <c r="DJ474" s="431"/>
      <c r="DK474" s="431"/>
      <c r="DL474" s="431"/>
      <c r="DM474" s="431"/>
      <c r="DN474" s="18"/>
      <c r="EI474" s="439"/>
      <c r="EJ474"/>
      <c r="EK474"/>
      <c r="EL474"/>
      <c r="EM474"/>
      <c r="EN474"/>
      <c r="EO474"/>
      <c r="EV474" s="439">
        <v>963</v>
      </c>
      <c r="EW474" t="s">
        <v>3154</v>
      </c>
      <c r="EX474" t="s">
        <v>2278</v>
      </c>
      <c r="EY474" t="s">
        <v>3155</v>
      </c>
      <c r="EZ474" t="s">
        <v>54</v>
      </c>
      <c r="FA474">
        <v>55379</v>
      </c>
      <c r="FB474"/>
    </row>
    <row r="475" spans="1:158" x14ac:dyDescent="0.2">
      <c r="DE475" s="489"/>
      <c r="DF475" s="489"/>
      <c r="DG475" s="489"/>
      <c r="DH475" s="431"/>
      <c r="DI475" s="431"/>
      <c r="DJ475" s="431"/>
      <c r="DK475" s="431"/>
      <c r="DL475" s="431"/>
      <c r="DM475" s="431"/>
      <c r="DN475" s="18"/>
      <c r="EI475" s="439"/>
      <c r="EJ475"/>
      <c r="EK475"/>
      <c r="EL475"/>
      <c r="EM475"/>
      <c r="EN475"/>
      <c r="EO475"/>
      <c r="EV475" s="439">
        <v>1449</v>
      </c>
      <c r="EW475" t="s">
        <v>2277</v>
      </c>
      <c r="EX475" t="s">
        <v>2278</v>
      </c>
      <c r="EY475" t="s">
        <v>2279</v>
      </c>
      <c r="EZ475" t="s">
        <v>54</v>
      </c>
      <c r="FA475">
        <v>55379</v>
      </c>
      <c r="FB475">
        <v>1659348092</v>
      </c>
    </row>
    <row r="476" spans="1:158" x14ac:dyDescent="0.2">
      <c r="DE476" s="489"/>
      <c r="DF476" s="489"/>
      <c r="DG476" s="489"/>
      <c r="DH476" s="431"/>
      <c r="DI476" s="431"/>
      <c r="DJ476" s="431"/>
      <c r="DK476" s="431"/>
      <c r="DL476" s="431"/>
      <c r="DM476" s="431"/>
      <c r="DN476" s="18"/>
      <c r="EI476" s="439"/>
      <c r="EJ476"/>
      <c r="EK476"/>
      <c r="EL476"/>
      <c r="EM476"/>
      <c r="EN476"/>
      <c r="EO476"/>
      <c r="EV476" s="439">
        <v>135</v>
      </c>
      <c r="EW476" t="s">
        <v>3156</v>
      </c>
      <c r="EX476" t="s">
        <v>2278</v>
      </c>
      <c r="EY476" t="s">
        <v>3157</v>
      </c>
      <c r="EZ476" t="s">
        <v>54</v>
      </c>
      <c r="FA476">
        <v>55379</v>
      </c>
      <c r="FB476">
        <v>1578520045</v>
      </c>
    </row>
    <row r="477" spans="1:158" x14ac:dyDescent="0.2">
      <c r="DE477" s="489"/>
      <c r="DF477" s="489"/>
      <c r="DG477" s="489"/>
      <c r="DH477" s="431"/>
      <c r="DI477" s="431"/>
      <c r="DJ477" s="431"/>
      <c r="DK477" s="431"/>
      <c r="DL477" s="431"/>
      <c r="DM477" s="431"/>
      <c r="DN477" s="18"/>
      <c r="EI477" s="439"/>
      <c r="EJ477"/>
      <c r="EK477"/>
      <c r="EL477"/>
      <c r="EM477"/>
      <c r="EN477"/>
      <c r="EO477"/>
      <c r="EV477" s="439">
        <v>613</v>
      </c>
      <c r="EW477" t="s">
        <v>2327</v>
      </c>
      <c r="EX477" t="s">
        <v>2328</v>
      </c>
      <c r="EY477" t="s">
        <v>2329</v>
      </c>
      <c r="EZ477" t="s">
        <v>2330</v>
      </c>
      <c r="FA477">
        <v>57117</v>
      </c>
      <c r="FB477">
        <v>1821017880</v>
      </c>
    </row>
    <row r="478" spans="1:158" s="465" customFormat="1" ht="15" x14ac:dyDescent="0.25">
      <c r="A478" s="91"/>
      <c r="B478" s="92"/>
      <c r="C478" s="92"/>
      <c r="D478" s="92"/>
      <c r="E478" s="92"/>
      <c r="F478" s="92"/>
      <c r="G478" s="92"/>
      <c r="H478" s="92"/>
      <c r="I478" s="92"/>
      <c r="J478" s="92"/>
      <c r="K478" s="92"/>
      <c r="L478" s="92"/>
      <c r="M478" s="92"/>
      <c r="N478" s="92"/>
      <c r="O478" s="92"/>
      <c r="P478" s="92"/>
      <c r="Q478" s="92"/>
      <c r="R478" s="92"/>
      <c r="S478" s="92"/>
      <c r="T478" s="92"/>
      <c r="U478" s="92"/>
      <c r="V478" s="92"/>
      <c r="W478" s="92"/>
      <c r="X478" s="437"/>
      <c r="Y478" s="92"/>
      <c r="Z478" s="92"/>
      <c r="AA478" s="92"/>
      <c r="AB478" s="92"/>
      <c r="AC478" s="92"/>
      <c r="AD478" s="92"/>
      <c r="AE478" s="92"/>
      <c r="AF478" s="92"/>
      <c r="AG478" s="92"/>
      <c r="AH478" s="92"/>
      <c r="AI478" s="92"/>
      <c r="AJ478" s="92"/>
      <c r="AK478" s="92"/>
      <c r="AL478" s="92"/>
      <c r="AM478" s="92"/>
      <c r="AN478" s="92"/>
      <c r="AO478" s="92"/>
      <c r="AP478" s="92"/>
      <c r="AQ478" s="92"/>
      <c r="AR478" s="92"/>
      <c r="AS478" s="92"/>
      <c r="AT478" s="92"/>
      <c r="AU478" s="92"/>
      <c r="AV478" s="92"/>
      <c r="AW478" s="92"/>
      <c r="AX478" s="92"/>
      <c r="AY478" s="92"/>
      <c r="AZ478" s="92"/>
      <c r="BA478" s="92"/>
      <c r="BB478" s="92"/>
      <c r="BC478" s="92"/>
      <c r="BD478" s="92"/>
      <c r="BE478" s="92"/>
      <c r="BF478" s="92"/>
      <c r="BG478" s="92"/>
      <c r="BH478" s="92"/>
      <c r="BI478" s="92"/>
      <c r="BJ478" s="92"/>
      <c r="BK478" s="92"/>
      <c r="BL478" s="92"/>
      <c r="BM478" s="92"/>
      <c r="BN478" s="92"/>
      <c r="BO478" s="92"/>
      <c r="BP478" s="92"/>
      <c r="BQ478" s="92"/>
      <c r="BR478" s="92"/>
      <c r="BS478" s="92"/>
      <c r="BT478" s="92"/>
      <c r="BU478" s="438"/>
      <c r="BV478" s="92"/>
      <c r="BW478" s="92"/>
      <c r="BX478" s="92"/>
      <c r="BY478" s="92"/>
      <c r="BZ478" s="92"/>
      <c r="CA478" s="92"/>
      <c r="CB478" s="92"/>
      <c r="CC478" s="92"/>
      <c r="CD478" s="92"/>
      <c r="CE478" s="92"/>
      <c r="CF478" s="92"/>
      <c r="CG478" s="18"/>
      <c r="CH478" s="18"/>
      <c r="CI478" s="18"/>
      <c r="CJ478" s="18"/>
      <c r="CK478" s="18"/>
      <c r="CL478" s="91"/>
      <c r="CM478" s="92"/>
      <c r="CN478" s="92"/>
      <c r="CO478" s="92"/>
      <c r="CP478" s="92"/>
      <c r="CQ478" s="92"/>
      <c r="CR478" s="92"/>
      <c r="CS478" s="92"/>
      <c r="CT478" s="92"/>
      <c r="CU478" s="92"/>
      <c r="CV478" s="92"/>
      <c r="CW478" s="92"/>
      <c r="CX478" s="92"/>
      <c r="CY478" s="92"/>
      <c r="CZ478" s="92"/>
      <c r="DA478" s="92"/>
      <c r="DB478" s="92"/>
      <c r="DC478" s="92"/>
      <c r="DD478" s="92"/>
      <c r="DE478" s="489"/>
      <c r="DF478" s="489"/>
      <c r="DG478" s="489"/>
      <c r="DH478" s="431"/>
      <c r="DI478" s="431"/>
      <c r="DJ478" s="431"/>
      <c r="DK478" s="431"/>
      <c r="DL478" s="431"/>
      <c r="DM478" s="431"/>
      <c r="DN478" s="18"/>
      <c r="DO478" s="92"/>
      <c r="DP478" s="92"/>
      <c r="DQ478" s="92"/>
      <c r="DR478" s="92"/>
      <c r="DS478" s="92"/>
      <c r="DT478" s="92"/>
      <c r="DU478" s="92"/>
      <c r="DV478" s="92"/>
      <c r="DW478" s="92"/>
      <c r="DX478" s="92"/>
      <c r="DY478" s="92"/>
      <c r="DZ478" s="92"/>
      <c r="EA478" s="92"/>
      <c r="EB478" s="92"/>
      <c r="EC478" s="92"/>
      <c r="ED478" s="92"/>
      <c r="EE478" s="92"/>
      <c r="EF478" s="92"/>
      <c r="EG478" s="92"/>
      <c r="EI478" s="439"/>
      <c r="EJ478"/>
      <c r="EK478"/>
      <c r="EL478"/>
      <c r="EM478"/>
      <c r="EN478"/>
      <c r="EO478"/>
      <c r="EV478" s="439">
        <v>614</v>
      </c>
      <c r="EW478" t="s">
        <v>2337</v>
      </c>
      <c r="EX478" t="s">
        <v>2328</v>
      </c>
      <c r="EY478" t="s">
        <v>2329</v>
      </c>
      <c r="EZ478" t="s">
        <v>2330</v>
      </c>
      <c r="FA478">
        <v>57117</v>
      </c>
      <c r="FB478">
        <v>1821017880</v>
      </c>
    </row>
    <row r="479" spans="1:158" s="465" customFormat="1" ht="15" x14ac:dyDescent="0.25">
      <c r="A479" s="91"/>
      <c r="B479" s="92"/>
      <c r="C479" s="92"/>
      <c r="D479" s="92"/>
      <c r="E479" s="92"/>
      <c r="F479" s="92"/>
      <c r="G479" s="92"/>
      <c r="H479" s="92"/>
      <c r="I479" s="92"/>
      <c r="J479" s="92"/>
      <c r="K479" s="92"/>
      <c r="L479" s="92"/>
      <c r="M479" s="92"/>
      <c r="N479" s="92"/>
      <c r="O479" s="92"/>
      <c r="P479" s="92"/>
      <c r="Q479" s="92"/>
      <c r="R479" s="92"/>
      <c r="S479" s="92"/>
      <c r="T479" s="92"/>
      <c r="U479" s="92"/>
      <c r="V479" s="92"/>
      <c r="W479" s="92"/>
      <c r="X479" s="437"/>
      <c r="Y479" s="92"/>
      <c r="Z479" s="92"/>
      <c r="AA479" s="92"/>
      <c r="AB479" s="92"/>
      <c r="AC479" s="92"/>
      <c r="AD479" s="92"/>
      <c r="AE479" s="92"/>
      <c r="AF479" s="92"/>
      <c r="AG479" s="92"/>
      <c r="AH479" s="92"/>
      <c r="AI479" s="92"/>
      <c r="AJ479" s="92"/>
      <c r="AK479" s="92"/>
      <c r="AL479" s="92"/>
      <c r="AM479" s="92"/>
      <c r="AN479" s="92"/>
      <c r="AO479" s="92"/>
      <c r="AP479" s="92"/>
      <c r="AQ479" s="92"/>
      <c r="AR479" s="92"/>
      <c r="AS479" s="92"/>
      <c r="AT479" s="92"/>
      <c r="AU479" s="92"/>
      <c r="AV479" s="92"/>
      <c r="AW479" s="92"/>
      <c r="AX479" s="92"/>
      <c r="AY479" s="92"/>
      <c r="AZ479" s="92"/>
      <c r="BA479" s="92"/>
      <c r="BB479" s="92"/>
      <c r="BC479" s="92"/>
      <c r="BD479" s="92"/>
      <c r="BE479" s="92"/>
      <c r="BF479" s="92"/>
      <c r="BG479" s="92"/>
      <c r="BH479" s="92"/>
      <c r="BI479" s="92"/>
      <c r="BJ479" s="92"/>
      <c r="BK479" s="92"/>
      <c r="BL479" s="92"/>
      <c r="BM479" s="92"/>
      <c r="BN479" s="92"/>
      <c r="BO479" s="92"/>
      <c r="BP479" s="92"/>
      <c r="BQ479" s="92"/>
      <c r="BR479" s="92"/>
      <c r="BS479" s="92"/>
      <c r="BT479" s="92"/>
      <c r="BU479" s="438"/>
      <c r="BV479" s="92"/>
      <c r="BW479" s="92"/>
      <c r="BX479" s="92"/>
      <c r="BY479" s="92"/>
      <c r="BZ479" s="92"/>
      <c r="CA479" s="92"/>
      <c r="CB479" s="92"/>
      <c r="CC479" s="92"/>
      <c r="CD479" s="92"/>
      <c r="CE479" s="92"/>
      <c r="CF479" s="92"/>
      <c r="CG479" s="18"/>
      <c r="CH479" s="18"/>
      <c r="CI479" s="18"/>
      <c r="CJ479" s="18"/>
      <c r="CK479" s="18"/>
      <c r="CL479" s="91"/>
      <c r="CM479" s="92"/>
      <c r="CN479" s="92"/>
      <c r="CO479" s="92"/>
      <c r="CP479" s="92"/>
      <c r="CQ479" s="92"/>
      <c r="CR479" s="92"/>
      <c r="CS479" s="92"/>
      <c r="CT479" s="92"/>
      <c r="CU479" s="92"/>
      <c r="CV479" s="92"/>
      <c r="CW479" s="92"/>
      <c r="CX479" s="92"/>
      <c r="CY479" s="92"/>
      <c r="CZ479" s="92"/>
      <c r="DA479" s="92"/>
      <c r="DB479" s="92"/>
      <c r="DC479" s="92"/>
      <c r="DD479" s="92"/>
      <c r="DE479" s="489"/>
      <c r="DF479" s="489"/>
      <c r="DG479" s="489"/>
      <c r="DH479" s="431"/>
      <c r="DI479" s="431"/>
      <c r="DJ479" s="431"/>
      <c r="DK479" s="431"/>
      <c r="DL479" s="431"/>
      <c r="DM479" s="431"/>
      <c r="DN479" s="18"/>
      <c r="DO479" s="92"/>
      <c r="DP479" s="92"/>
      <c r="DQ479" s="92"/>
      <c r="DR479" s="92"/>
      <c r="DS479" s="92"/>
      <c r="DT479" s="92"/>
      <c r="DU479" s="92"/>
      <c r="DV479" s="92"/>
      <c r="DW479" s="92"/>
      <c r="DX479" s="92"/>
      <c r="DY479" s="92"/>
      <c r="DZ479" s="92"/>
      <c r="EA479" s="92"/>
      <c r="EB479" s="92"/>
      <c r="EC479" s="92"/>
      <c r="ED479" s="92"/>
      <c r="EE479" s="92"/>
      <c r="EF479" s="92"/>
      <c r="EG479" s="92"/>
      <c r="EI479" s="439"/>
      <c r="EJ479"/>
      <c r="EK479"/>
      <c r="EL479"/>
      <c r="EM479"/>
      <c r="EN479"/>
      <c r="EO479"/>
      <c r="EV479" s="439">
        <v>615</v>
      </c>
      <c r="EW479" t="s">
        <v>2338</v>
      </c>
      <c r="EX479" t="s">
        <v>2328</v>
      </c>
      <c r="EY479" t="s">
        <v>2329</v>
      </c>
      <c r="EZ479" t="s">
        <v>2330</v>
      </c>
      <c r="FA479">
        <v>57117</v>
      </c>
      <c r="FB479">
        <v>1821017880</v>
      </c>
    </row>
    <row r="480" spans="1:158" s="465" customFormat="1" ht="15" x14ac:dyDescent="0.25">
      <c r="A480" s="91"/>
      <c r="B480" s="92"/>
      <c r="C480" s="92"/>
      <c r="D480" s="92"/>
      <c r="E480" s="92"/>
      <c r="F480" s="92"/>
      <c r="G480" s="92"/>
      <c r="H480" s="92"/>
      <c r="I480" s="92"/>
      <c r="J480" s="92"/>
      <c r="K480" s="92"/>
      <c r="L480" s="92"/>
      <c r="M480" s="92"/>
      <c r="N480" s="92"/>
      <c r="O480" s="92"/>
      <c r="P480" s="92"/>
      <c r="Q480" s="92"/>
      <c r="R480" s="92"/>
      <c r="S480" s="92"/>
      <c r="T480" s="92"/>
      <c r="U480" s="92"/>
      <c r="V480" s="92"/>
      <c r="W480" s="92"/>
      <c r="X480" s="437"/>
      <c r="Y480" s="92"/>
      <c r="Z480" s="92"/>
      <c r="AA480" s="92"/>
      <c r="AB480" s="92"/>
      <c r="AC480" s="92"/>
      <c r="AD480" s="92"/>
      <c r="AE480" s="92"/>
      <c r="AF480" s="92"/>
      <c r="AG480" s="92"/>
      <c r="AH480" s="92"/>
      <c r="AI480" s="92"/>
      <c r="AJ480" s="92"/>
      <c r="AK480" s="92"/>
      <c r="AL480" s="92"/>
      <c r="AM480" s="92"/>
      <c r="AN480" s="92"/>
      <c r="AO480" s="92"/>
      <c r="AP480" s="92"/>
      <c r="AQ480" s="92"/>
      <c r="AR480" s="92"/>
      <c r="AS480" s="92"/>
      <c r="AT480" s="92"/>
      <c r="AU480" s="92"/>
      <c r="AV480" s="92"/>
      <c r="AW480" s="92"/>
      <c r="AX480" s="92"/>
      <c r="AY480" s="92"/>
      <c r="AZ480" s="92"/>
      <c r="BA480" s="92"/>
      <c r="BB480" s="92"/>
      <c r="BC480" s="92"/>
      <c r="BD480" s="92"/>
      <c r="BE480" s="92"/>
      <c r="BF480" s="92"/>
      <c r="BG480" s="92"/>
      <c r="BH480" s="92"/>
      <c r="BI480" s="92"/>
      <c r="BJ480" s="92"/>
      <c r="BK480" s="92"/>
      <c r="BL480" s="92"/>
      <c r="BM480" s="92"/>
      <c r="BN480" s="92"/>
      <c r="BO480" s="92"/>
      <c r="BP480" s="92"/>
      <c r="BQ480" s="92"/>
      <c r="BR480" s="92"/>
      <c r="BS480" s="92"/>
      <c r="BT480" s="92"/>
      <c r="BU480" s="438"/>
      <c r="BV480" s="92"/>
      <c r="BW480" s="92"/>
      <c r="BX480" s="92"/>
      <c r="BY480" s="92"/>
      <c r="BZ480" s="92"/>
      <c r="CA480" s="92"/>
      <c r="CB480" s="92"/>
      <c r="CC480" s="92"/>
      <c r="CD480" s="92"/>
      <c r="CE480" s="92"/>
      <c r="CF480" s="92"/>
      <c r="CG480" s="18"/>
      <c r="CH480" s="18"/>
      <c r="CI480" s="18"/>
      <c r="CJ480" s="18"/>
      <c r="CK480" s="18"/>
      <c r="CL480" s="91"/>
      <c r="CM480" s="92"/>
      <c r="CN480" s="92"/>
      <c r="CO480" s="92"/>
      <c r="CP480" s="92"/>
      <c r="CQ480" s="92"/>
      <c r="CR480" s="92"/>
      <c r="CS480" s="92"/>
      <c r="CT480" s="92"/>
      <c r="CU480" s="92"/>
      <c r="CV480" s="92"/>
      <c r="CW480" s="92"/>
      <c r="CX480" s="92"/>
      <c r="CY480" s="92"/>
      <c r="CZ480" s="92"/>
      <c r="DA480" s="92"/>
      <c r="DB480" s="92"/>
      <c r="DC480" s="92"/>
      <c r="DD480" s="92"/>
      <c r="DE480" s="489"/>
      <c r="DF480" s="489"/>
      <c r="DG480" s="489"/>
      <c r="DH480" s="431"/>
      <c r="DI480" s="431"/>
      <c r="DJ480" s="431"/>
      <c r="DK480" s="431"/>
      <c r="DL480" s="431"/>
      <c r="DM480" s="431"/>
      <c r="DN480" s="18"/>
      <c r="DO480" s="92"/>
      <c r="DP480" s="92"/>
      <c r="DQ480" s="92"/>
      <c r="DR480" s="92"/>
      <c r="DS480" s="92"/>
      <c r="DT480" s="92"/>
      <c r="DU480" s="92"/>
      <c r="DV480" s="92"/>
      <c r="DW480" s="92"/>
      <c r="DX480" s="92"/>
      <c r="DY480" s="92"/>
      <c r="DZ480" s="92"/>
      <c r="EA480" s="92"/>
      <c r="EB480" s="92"/>
      <c r="EC480" s="92"/>
      <c r="ED480" s="92"/>
      <c r="EE480" s="92"/>
      <c r="EF480" s="92"/>
      <c r="EG480" s="92"/>
      <c r="EI480" s="439"/>
      <c r="EJ480"/>
      <c r="EK480"/>
      <c r="EL480"/>
      <c r="EM480"/>
      <c r="EN480"/>
      <c r="EO480"/>
      <c r="EV480" s="439">
        <v>99</v>
      </c>
      <c r="EW480" t="s">
        <v>3158</v>
      </c>
      <c r="EX480" t="s">
        <v>2420</v>
      </c>
      <c r="EY480" t="s">
        <v>3159</v>
      </c>
      <c r="EZ480" t="s">
        <v>54</v>
      </c>
      <c r="FA480">
        <v>56172</v>
      </c>
      <c r="FB480">
        <v>1053497214</v>
      </c>
    </row>
    <row r="481" spans="1:158" s="465" customFormat="1" ht="15" x14ac:dyDescent="0.25">
      <c r="A481" s="91"/>
      <c r="B481" s="92"/>
      <c r="C481" s="92"/>
      <c r="D481" s="92"/>
      <c r="E481" s="92"/>
      <c r="F481" s="92"/>
      <c r="G481" s="92"/>
      <c r="H481" s="92"/>
      <c r="I481" s="92"/>
      <c r="J481" s="92"/>
      <c r="K481" s="92"/>
      <c r="L481" s="92"/>
      <c r="M481" s="92"/>
      <c r="N481" s="92"/>
      <c r="O481" s="92"/>
      <c r="P481" s="92"/>
      <c r="Q481" s="92"/>
      <c r="R481" s="92"/>
      <c r="S481" s="92"/>
      <c r="T481" s="92"/>
      <c r="U481" s="92"/>
      <c r="V481" s="92"/>
      <c r="W481" s="92"/>
      <c r="X481" s="437"/>
      <c r="Y481" s="92"/>
      <c r="Z481" s="92"/>
      <c r="AA481" s="92"/>
      <c r="AB481" s="92"/>
      <c r="AC481" s="92"/>
      <c r="AD481" s="92"/>
      <c r="AE481" s="92"/>
      <c r="AF481" s="92"/>
      <c r="AG481" s="92"/>
      <c r="AH481" s="92"/>
      <c r="AI481" s="92"/>
      <c r="AJ481" s="92"/>
      <c r="AK481" s="92"/>
      <c r="AL481" s="92"/>
      <c r="AM481" s="92"/>
      <c r="AN481" s="92"/>
      <c r="AO481" s="92"/>
      <c r="AP481" s="92"/>
      <c r="AQ481" s="92"/>
      <c r="AR481" s="92"/>
      <c r="AS481" s="92"/>
      <c r="AT481" s="92"/>
      <c r="AU481" s="92"/>
      <c r="AV481" s="92"/>
      <c r="AW481" s="92"/>
      <c r="AX481" s="92"/>
      <c r="AY481" s="92"/>
      <c r="AZ481" s="92"/>
      <c r="BA481" s="92"/>
      <c r="BB481" s="92"/>
      <c r="BC481" s="92"/>
      <c r="BD481" s="92"/>
      <c r="BE481" s="92"/>
      <c r="BF481" s="92"/>
      <c r="BG481" s="92"/>
      <c r="BH481" s="92"/>
      <c r="BI481" s="92"/>
      <c r="BJ481" s="92"/>
      <c r="BK481" s="92"/>
      <c r="BL481" s="92"/>
      <c r="BM481" s="92"/>
      <c r="BN481" s="92"/>
      <c r="BO481" s="92"/>
      <c r="BP481" s="92"/>
      <c r="BQ481" s="92"/>
      <c r="BR481" s="92"/>
      <c r="BS481" s="92"/>
      <c r="BT481" s="92"/>
      <c r="BU481" s="438"/>
      <c r="BV481" s="92"/>
      <c r="BW481" s="92"/>
      <c r="BX481" s="92"/>
      <c r="BY481" s="92"/>
      <c r="BZ481" s="92"/>
      <c r="CA481" s="92"/>
      <c r="CB481" s="92"/>
      <c r="CC481" s="92"/>
      <c r="CD481" s="92"/>
      <c r="CE481" s="92"/>
      <c r="CF481" s="92"/>
      <c r="CG481" s="18"/>
      <c r="CH481" s="18"/>
      <c r="CI481" s="18"/>
      <c r="CJ481" s="18"/>
      <c r="CK481" s="18"/>
      <c r="CL481" s="91"/>
      <c r="CM481" s="92"/>
      <c r="CN481" s="92"/>
      <c r="CO481" s="92"/>
      <c r="CP481" s="92"/>
      <c r="CQ481" s="92"/>
      <c r="CR481" s="92"/>
      <c r="CS481" s="92"/>
      <c r="CT481" s="92"/>
      <c r="CU481" s="92"/>
      <c r="CV481" s="92"/>
      <c r="CW481" s="92"/>
      <c r="CX481" s="92"/>
      <c r="CY481" s="92"/>
      <c r="CZ481" s="92"/>
      <c r="DA481" s="92"/>
      <c r="DB481" s="92"/>
      <c r="DC481" s="92"/>
      <c r="DD481" s="92"/>
      <c r="DE481" s="489"/>
      <c r="DF481" s="489"/>
      <c r="DG481" s="489"/>
      <c r="DH481" s="431"/>
      <c r="DI481" s="431"/>
      <c r="DJ481" s="431"/>
      <c r="DK481" s="431"/>
      <c r="DL481" s="431"/>
      <c r="DM481" s="431"/>
      <c r="DN481" s="18"/>
      <c r="DO481" s="92"/>
      <c r="DP481" s="92"/>
      <c r="DQ481" s="92"/>
      <c r="DR481" s="92"/>
      <c r="DS481" s="92"/>
      <c r="DT481" s="92"/>
      <c r="DU481" s="92"/>
      <c r="DV481" s="92"/>
      <c r="DW481" s="92"/>
      <c r="DX481" s="92"/>
      <c r="DY481" s="92"/>
      <c r="DZ481" s="92"/>
      <c r="EA481" s="92"/>
      <c r="EB481" s="92"/>
      <c r="EC481" s="92"/>
      <c r="ED481" s="92"/>
      <c r="EE481" s="92"/>
      <c r="EF481" s="92"/>
      <c r="EG481" s="92"/>
      <c r="EI481" s="439"/>
      <c r="EJ481"/>
      <c r="EK481"/>
      <c r="EL481"/>
      <c r="EM481"/>
      <c r="EN481"/>
      <c r="EO481"/>
      <c r="EV481" s="439">
        <v>858</v>
      </c>
      <c r="EW481" t="s">
        <v>1367</v>
      </c>
      <c r="EX481" t="s">
        <v>1368</v>
      </c>
      <c r="EY481" t="s">
        <v>1369</v>
      </c>
      <c r="EZ481" t="s">
        <v>54</v>
      </c>
      <c r="FA481">
        <v>56085</v>
      </c>
      <c r="FB481"/>
    </row>
    <row r="482" spans="1:158" s="465" customFormat="1" ht="15" x14ac:dyDescent="0.25">
      <c r="A482" s="91"/>
      <c r="B482" s="92"/>
      <c r="C482" s="92"/>
      <c r="D482" s="92"/>
      <c r="E482" s="92"/>
      <c r="F482" s="92"/>
      <c r="G482" s="92"/>
      <c r="H482" s="92"/>
      <c r="I482" s="92"/>
      <c r="J482" s="92"/>
      <c r="K482" s="92"/>
      <c r="L482" s="92"/>
      <c r="M482" s="92"/>
      <c r="N482" s="92"/>
      <c r="O482" s="92"/>
      <c r="P482" s="92"/>
      <c r="Q482" s="92"/>
      <c r="R482" s="92"/>
      <c r="S482" s="92"/>
      <c r="T482" s="92"/>
      <c r="U482" s="92"/>
      <c r="V482" s="92"/>
      <c r="W482" s="92"/>
      <c r="X482" s="437"/>
      <c r="Y482" s="92"/>
      <c r="Z482" s="92"/>
      <c r="AA482" s="92"/>
      <c r="AB482" s="92"/>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92"/>
      <c r="AY482" s="92"/>
      <c r="AZ482" s="92"/>
      <c r="BA482" s="92"/>
      <c r="BB482" s="92"/>
      <c r="BC482" s="92"/>
      <c r="BD482" s="92"/>
      <c r="BE482" s="92"/>
      <c r="BF482" s="92"/>
      <c r="BG482" s="92"/>
      <c r="BH482" s="92"/>
      <c r="BI482" s="92"/>
      <c r="BJ482" s="92"/>
      <c r="BK482" s="92"/>
      <c r="BL482" s="92"/>
      <c r="BM482" s="92"/>
      <c r="BN482" s="92"/>
      <c r="BO482" s="92"/>
      <c r="BP482" s="92"/>
      <c r="BQ482" s="92"/>
      <c r="BR482" s="92"/>
      <c r="BS482" s="92"/>
      <c r="BT482" s="92"/>
      <c r="BU482" s="438"/>
      <c r="BV482" s="92"/>
      <c r="BW482" s="92"/>
      <c r="BX482" s="92"/>
      <c r="BY482" s="92"/>
      <c r="BZ482" s="92"/>
      <c r="CA482" s="92"/>
      <c r="CB482" s="92"/>
      <c r="CC482" s="92"/>
      <c r="CD482" s="92"/>
      <c r="CE482" s="92"/>
      <c r="CF482" s="92"/>
      <c r="CG482" s="18"/>
      <c r="CH482" s="18"/>
      <c r="CI482" s="18"/>
      <c r="CJ482" s="18"/>
      <c r="CK482" s="18"/>
      <c r="CL482" s="91"/>
      <c r="CM482" s="92"/>
      <c r="CN482" s="92"/>
      <c r="CO482" s="92"/>
      <c r="CP482" s="92"/>
      <c r="CQ482" s="92"/>
      <c r="CR482" s="92"/>
      <c r="CS482" s="92"/>
      <c r="CT482" s="92"/>
      <c r="CU482" s="92"/>
      <c r="CV482" s="92"/>
      <c r="CW482" s="92"/>
      <c r="CX482" s="92"/>
      <c r="CY482" s="92"/>
      <c r="CZ482" s="92"/>
      <c r="DA482" s="92"/>
      <c r="DB482" s="92"/>
      <c r="DC482" s="92"/>
      <c r="DD482" s="92"/>
      <c r="DE482" s="489"/>
      <c r="DF482" s="489"/>
      <c r="DG482" s="489"/>
      <c r="DH482" s="431"/>
      <c r="DI482" s="431"/>
      <c r="DJ482" s="431"/>
      <c r="DK482" s="431"/>
      <c r="DL482" s="431"/>
      <c r="DM482" s="431"/>
      <c r="DN482" s="18"/>
      <c r="DO482" s="92"/>
      <c r="DP482" s="92"/>
      <c r="DQ482" s="92"/>
      <c r="DR482" s="92"/>
      <c r="DS482" s="92"/>
      <c r="DT482" s="92"/>
      <c r="DU482" s="92"/>
      <c r="DV482" s="92"/>
      <c r="DW482" s="92"/>
      <c r="DX482" s="92"/>
      <c r="DY482" s="92"/>
      <c r="DZ482" s="92"/>
      <c r="EA482" s="92"/>
      <c r="EB482" s="92"/>
      <c r="EC482" s="92"/>
      <c r="ED482" s="92"/>
      <c r="EE482" s="92"/>
      <c r="EF482" s="92"/>
      <c r="EG482" s="92"/>
      <c r="EI482" s="439"/>
      <c r="EJ482"/>
      <c r="EK482"/>
      <c r="EL482"/>
      <c r="EM482"/>
      <c r="EN482"/>
      <c r="EO482"/>
      <c r="EV482" s="439">
        <v>129</v>
      </c>
      <c r="EW482" t="s">
        <v>3160</v>
      </c>
      <c r="EX482" t="s">
        <v>1368</v>
      </c>
      <c r="EY482" t="s">
        <v>1369</v>
      </c>
      <c r="EZ482" t="s">
        <v>54</v>
      </c>
      <c r="FA482">
        <v>56085</v>
      </c>
      <c r="FB482">
        <v>1952370348</v>
      </c>
    </row>
    <row r="483" spans="1:158" s="465" customFormat="1" ht="15" x14ac:dyDescent="0.25">
      <c r="A483" s="91"/>
      <c r="B483" s="92"/>
      <c r="C483" s="92"/>
      <c r="D483" s="92"/>
      <c r="E483" s="92"/>
      <c r="F483" s="92"/>
      <c r="G483" s="92"/>
      <c r="H483" s="92"/>
      <c r="I483" s="92"/>
      <c r="J483" s="92"/>
      <c r="K483" s="92"/>
      <c r="L483" s="92"/>
      <c r="M483" s="92"/>
      <c r="N483" s="92"/>
      <c r="O483" s="92"/>
      <c r="P483" s="92"/>
      <c r="Q483" s="92"/>
      <c r="R483" s="92"/>
      <c r="S483" s="92"/>
      <c r="T483" s="92"/>
      <c r="U483" s="92"/>
      <c r="V483" s="92"/>
      <c r="W483" s="92"/>
      <c r="X483" s="437"/>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92"/>
      <c r="AY483" s="92"/>
      <c r="AZ483" s="92"/>
      <c r="BA483" s="92"/>
      <c r="BB483" s="92"/>
      <c r="BC483" s="92"/>
      <c r="BD483" s="92"/>
      <c r="BE483" s="92"/>
      <c r="BF483" s="92"/>
      <c r="BG483" s="92"/>
      <c r="BH483" s="92"/>
      <c r="BI483" s="92"/>
      <c r="BJ483" s="92"/>
      <c r="BK483" s="92"/>
      <c r="BL483" s="92"/>
      <c r="BM483" s="92"/>
      <c r="BN483" s="92"/>
      <c r="BO483" s="92"/>
      <c r="BP483" s="92"/>
      <c r="BQ483" s="92"/>
      <c r="BR483" s="92"/>
      <c r="BS483" s="92"/>
      <c r="BT483" s="92"/>
      <c r="BU483" s="438"/>
      <c r="BV483" s="92"/>
      <c r="BW483" s="92"/>
      <c r="BX483" s="92"/>
      <c r="BY483" s="92"/>
      <c r="BZ483" s="92"/>
      <c r="CA483" s="92"/>
      <c r="CB483" s="92"/>
      <c r="CC483" s="92"/>
      <c r="CD483" s="92"/>
      <c r="CE483" s="92"/>
      <c r="CF483" s="92"/>
      <c r="CG483" s="18"/>
      <c r="CH483" s="18"/>
      <c r="CI483" s="18"/>
      <c r="CJ483" s="18"/>
      <c r="CK483" s="18"/>
      <c r="CL483" s="91"/>
      <c r="CM483" s="92"/>
      <c r="CN483" s="92"/>
      <c r="CO483" s="92"/>
      <c r="CP483" s="92"/>
      <c r="CQ483" s="92"/>
      <c r="CR483" s="92"/>
      <c r="CS483" s="92"/>
      <c r="CT483" s="92"/>
      <c r="CU483" s="92"/>
      <c r="CV483" s="92"/>
      <c r="CW483" s="92"/>
      <c r="CX483" s="92"/>
      <c r="CY483" s="92"/>
      <c r="CZ483" s="92"/>
      <c r="DA483" s="92"/>
      <c r="DB483" s="92"/>
      <c r="DC483" s="92"/>
      <c r="DD483" s="92"/>
      <c r="DE483" s="489"/>
      <c r="DF483" s="489"/>
      <c r="DG483" s="489"/>
      <c r="DH483" s="431"/>
      <c r="DI483" s="431"/>
      <c r="DJ483" s="431"/>
      <c r="DK483" s="431"/>
      <c r="DL483" s="431"/>
      <c r="DM483" s="431"/>
      <c r="DN483" s="18"/>
      <c r="DO483" s="92"/>
      <c r="DP483" s="92"/>
      <c r="DQ483" s="92"/>
      <c r="DR483" s="92"/>
      <c r="DS483" s="92"/>
      <c r="DT483" s="92"/>
      <c r="DU483" s="92"/>
      <c r="DV483" s="92"/>
      <c r="DW483" s="92"/>
      <c r="DX483" s="92"/>
      <c r="DY483" s="92"/>
      <c r="DZ483" s="92"/>
      <c r="EA483" s="92"/>
      <c r="EB483" s="92"/>
      <c r="EC483" s="92"/>
      <c r="ED483" s="92"/>
      <c r="EE483" s="92"/>
      <c r="EF483" s="92"/>
      <c r="EG483" s="92"/>
      <c r="EI483" s="439"/>
      <c r="EJ483"/>
      <c r="EK483"/>
      <c r="EL483"/>
      <c r="EM483"/>
      <c r="EN483"/>
      <c r="EO483"/>
      <c r="EV483" s="439">
        <v>535</v>
      </c>
      <c r="EW483" t="s">
        <v>3161</v>
      </c>
      <c r="EX483" t="s">
        <v>3162</v>
      </c>
      <c r="EY483" t="s">
        <v>3163</v>
      </c>
      <c r="EZ483" t="s">
        <v>54</v>
      </c>
      <c r="FA483">
        <v>55432</v>
      </c>
      <c r="FB483">
        <v>1548253933</v>
      </c>
    </row>
    <row r="484" spans="1:158" s="465" customFormat="1" ht="15" x14ac:dyDescent="0.25">
      <c r="A484" s="91"/>
      <c r="B484" s="92"/>
      <c r="C484" s="92"/>
      <c r="D484" s="92"/>
      <c r="E484" s="92"/>
      <c r="F484" s="92"/>
      <c r="G484" s="92"/>
      <c r="H484" s="92"/>
      <c r="I484" s="92"/>
      <c r="J484" s="92"/>
      <c r="K484" s="92"/>
      <c r="L484" s="92"/>
      <c r="M484" s="92"/>
      <c r="N484" s="92"/>
      <c r="O484" s="92"/>
      <c r="P484" s="92"/>
      <c r="Q484" s="92"/>
      <c r="R484" s="92"/>
      <c r="S484" s="92"/>
      <c r="T484" s="92"/>
      <c r="U484" s="92"/>
      <c r="V484" s="92"/>
      <c r="W484" s="92"/>
      <c r="X484" s="437"/>
      <c r="Y484" s="92"/>
      <c r="Z484" s="92"/>
      <c r="AA484" s="92"/>
      <c r="AB484" s="92"/>
      <c r="AC484" s="92"/>
      <c r="AD484" s="92"/>
      <c r="AE484" s="92"/>
      <c r="AF484" s="92"/>
      <c r="AG484" s="92"/>
      <c r="AH484" s="92"/>
      <c r="AI484" s="92"/>
      <c r="AJ484" s="92"/>
      <c r="AK484" s="92"/>
      <c r="AL484" s="92"/>
      <c r="AM484" s="92"/>
      <c r="AN484" s="92"/>
      <c r="AO484" s="92"/>
      <c r="AP484" s="92"/>
      <c r="AQ484" s="92"/>
      <c r="AR484" s="92"/>
      <c r="AS484" s="92"/>
      <c r="AT484" s="92"/>
      <c r="AU484" s="92"/>
      <c r="AV484" s="92"/>
      <c r="AW484" s="92"/>
      <c r="AX484" s="92"/>
      <c r="AY484" s="92"/>
      <c r="AZ484" s="92"/>
      <c r="BA484" s="92"/>
      <c r="BB484" s="92"/>
      <c r="BC484" s="92"/>
      <c r="BD484" s="92"/>
      <c r="BE484" s="92"/>
      <c r="BF484" s="92"/>
      <c r="BG484" s="92"/>
      <c r="BH484" s="92"/>
      <c r="BI484" s="92"/>
      <c r="BJ484" s="92"/>
      <c r="BK484" s="92"/>
      <c r="BL484" s="92"/>
      <c r="BM484" s="92"/>
      <c r="BN484" s="92"/>
      <c r="BO484" s="92"/>
      <c r="BP484" s="92"/>
      <c r="BQ484" s="92"/>
      <c r="BR484" s="92"/>
      <c r="BS484" s="92"/>
      <c r="BT484" s="92"/>
      <c r="BU484" s="438"/>
      <c r="BV484" s="92"/>
      <c r="BW484" s="92"/>
      <c r="BX484" s="92"/>
      <c r="BY484" s="92"/>
      <c r="BZ484" s="92"/>
      <c r="CA484" s="92"/>
      <c r="CB484" s="92"/>
      <c r="CC484" s="92"/>
      <c r="CD484" s="92"/>
      <c r="CE484" s="92"/>
      <c r="CF484" s="92"/>
      <c r="CG484" s="18"/>
      <c r="CH484" s="18"/>
      <c r="CI484" s="18"/>
      <c r="CJ484" s="18"/>
      <c r="CK484" s="18"/>
      <c r="CL484" s="91"/>
      <c r="CM484" s="92"/>
      <c r="CN484" s="92"/>
      <c r="CO484" s="92"/>
      <c r="CP484" s="92"/>
      <c r="CQ484" s="92"/>
      <c r="CR484" s="92"/>
      <c r="CS484" s="92"/>
      <c r="CT484" s="92"/>
      <c r="CU484" s="92"/>
      <c r="CV484" s="92"/>
      <c r="CW484" s="92"/>
      <c r="CX484" s="92"/>
      <c r="CY484" s="92"/>
      <c r="CZ484" s="92"/>
      <c r="DA484" s="92"/>
      <c r="DB484" s="92"/>
      <c r="DC484" s="92"/>
      <c r="DD484" s="92"/>
      <c r="DE484" s="489"/>
      <c r="DF484" s="489"/>
      <c r="DG484" s="489"/>
      <c r="DH484" s="431"/>
      <c r="DI484" s="431"/>
      <c r="DJ484" s="431"/>
      <c r="DK484" s="431"/>
      <c r="DL484" s="431"/>
      <c r="DM484" s="431"/>
      <c r="DN484" s="18"/>
      <c r="DO484" s="92"/>
      <c r="DP484" s="92"/>
      <c r="DQ484" s="92"/>
      <c r="DR484" s="92"/>
      <c r="DS484" s="92"/>
      <c r="DT484" s="92"/>
      <c r="DU484" s="92"/>
      <c r="DV484" s="92"/>
      <c r="DW484" s="92"/>
      <c r="DX484" s="92"/>
      <c r="DY484" s="92"/>
      <c r="DZ484" s="92"/>
      <c r="EA484" s="92"/>
      <c r="EB484" s="92"/>
      <c r="EC484" s="92"/>
      <c r="ED484" s="92"/>
      <c r="EE484" s="92"/>
      <c r="EF484" s="92"/>
      <c r="EG484" s="92"/>
      <c r="EI484" s="439"/>
      <c r="EJ484"/>
      <c r="EK484"/>
      <c r="EL484"/>
      <c r="EM484"/>
      <c r="EN484"/>
      <c r="EO484"/>
      <c r="EV484" s="439">
        <v>1207</v>
      </c>
      <c r="EW484" t="s">
        <v>1296</v>
      </c>
      <c r="EX484" t="s">
        <v>1297</v>
      </c>
      <c r="EY484" t="s">
        <v>1298</v>
      </c>
      <c r="EZ484" t="s">
        <v>54</v>
      </c>
      <c r="FA484">
        <v>56479</v>
      </c>
      <c r="FB484"/>
    </row>
    <row r="485" spans="1:158" s="465" customFormat="1" ht="15" x14ac:dyDescent="0.25">
      <c r="A485" s="91"/>
      <c r="B485" s="92"/>
      <c r="C485" s="92"/>
      <c r="D485" s="92"/>
      <c r="E485" s="92"/>
      <c r="F485" s="92"/>
      <c r="G485" s="92"/>
      <c r="H485" s="92"/>
      <c r="I485" s="92"/>
      <c r="J485" s="92"/>
      <c r="K485" s="92"/>
      <c r="L485" s="92"/>
      <c r="M485" s="92"/>
      <c r="N485" s="92"/>
      <c r="O485" s="92"/>
      <c r="P485" s="92"/>
      <c r="Q485" s="92"/>
      <c r="R485" s="92"/>
      <c r="S485" s="92"/>
      <c r="T485" s="92"/>
      <c r="U485" s="92"/>
      <c r="V485" s="92"/>
      <c r="W485" s="92"/>
      <c r="X485" s="437"/>
      <c r="Y485" s="92"/>
      <c r="Z485" s="92"/>
      <c r="AA485" s="92"/>
      <c r="AB485" s="92"/>
      <c r="AC485" s="92"/>
      <c r="AD485" s="92"/>
      <c r="AE485" s="92"/>
      <c r="AF485" s="92"/>
      <c r="AG485" s="92"/>
      <c r="AH485" s="92"/>
      <c r="AI485" s="92"/>
      <c r="AJ485" s="92"/>
      <c r="AK485" s="92"/>
      <c r="AL485" s="92"/>
      <c r="AM485" s="92"/>
      <c r="AN485" s="92"/>
      <c r="AO485" s="92"/>
      <c r="AP485" s="92"/>
      <c r="AQ485" s="92"/>
      <c r="AR485" s="92"/>
      <c r="AS485" s="92"/>
      <c r="AT485" s="92"/>
      <c r="AU485" s="92"/>
      <c r="AV485" s="92"/>
      <c r="AW485" s="92"/>
      <c r="AX485" s="92"/>
      <c r="AY485" s="92"/>
      <c r="AZ485" s="92"/>
      <c r="BA485" s="92"/>
      <c r="BB485" s="92"/>
      <c r="BC485" s="92"/>
      <c r="BD485" s="92"/>
      <c r="BE485" s="92"/>
      <c r="BF485" s="92"/>
      <c r="BG485" s="92"/>
      <c r="BH485" s="92"/>
      <c r="BI485" s="92"/>
      <c r="BJ485" s="92"/>
      <c r="BK485" s="92"/>
      <c r="BL485" s="92"/>
      <c r="BM485" s="92"/>
      <c r="BN485" s="92"/>
      <c r="BO485" s="92"/>
      <c r="BP485" s="92"/>
      <c r="BQ485" s="92"/>
      <c r="BR485" s="92"/>
      <c r="BS485" s="92"/>
      <c r="BT485" s="92"/>
      <c r="BU485" s="438"/>
      <c r="BV485" s="92"/>
      <c r="BW485" s="92"/>
      <c r="BX485" s="92"/>
      <c r="BY485" s="92"/>
      <c r="BZ485" s="92"/>
      <c r="CA485" s="92"/>
      <c r="CB485" s="92"/>
      <c r="CC485" s="92"/>
      <c r="CD485" s="92"/>
      <c r="CE485" s="92"/>
      <c r="CF485" s="92"/>
      <c r="CG485" s="18"/>
      <c r="CH485" s="18"/>
      <c r="CI485" s="18"/>
      <c r="CJ485" s="18"/>
      <c r="CK485" s="18"/>
      <c r="CL485" s="91"/>
      <c r="CM485" s="92"/>
      <c r="CN485" s="92"/>
      <c r="CO485" s="92"/>
      <c r="CP485" s="92"/>
      <c r="CQ485" s="92"/>
      <c r="CR485" s="92"/>
      <c r="CS485" s="92"/>
      <c r="CT485" s="92"/>
      <c r="CU485" s="92"/>
      <c r="CV485" s="92"/>
      <c r="CW485" s="92"/>
      <c r="CX485" s="92"/>
      <c r="CY485" s="92"/>
      <c r="CZ485" s="92"/>
      <c r="DA485" s="92"/>
      <c r="DB485" s="92"/>
      <c r="DC485" s="92"/>
      <c r="DD485" s="92"/>
      <c r="DE485" s="489"/>
      <c r="DF485" s="489"/>
      <c r="DG485" s="489"/>
      <c r="DH485" s="431"/>
      <c r="DI485" s="431"/>
      <c r="DJ485" s="431"/>
      <c r="DK485" s="431"/>
      <c r="DL485" s="431"/>
      <c r="DM485" s="431"/>
      <c r="DN485" s="18"/>
      <c r="DO485" s="92"/>
      <c r="DP485" s="92"/>
      <c r="DQ485" s="92"/>
      <c r="DR485" s="92"/>
      <c r="DS485" s="92"/>
      <c r="DT485" s="92"/>
      <c r="DU485" s="92"/>
      <c r="DV485" s="92"/>
      <c r="DW485" s="92"/>
      <c r="DX485" s="92"/>
      <c r="DY485" s="92"/>
      <c r="DZ485" s="92"/>
      <c r="EA485" s="92"/>
      <c r="EB485" s="92"/>
      <c r="EC485" s="92"/>
      <c r="ED485" s="92"/>
      <c r="EE485" s="92"/>
      <c r="EF485" s="92"/>
      <c r="EG485" s="92"/>
      <c r="EI485" s="439"/>
      <c r="EJ485"/>
      <c r="EK485"/>
      <c r="EL485"/>
      <c r="EM485"/>
      <c r="EN485"/>
      <c r="EO485"/>
      <c r="EV485" s="439">
        <v>161</v>
      </c>
      <c r="EW485" t="s">
        <v>3164</v>
      </c>
      <c r="EX485" t="s">
        <v>1297</v>
      </c>
      <c r="EY485" t="s">
        <v>1298</v>
      </c>
      <c r="EZ485" t="s">
        <v>54</v>
      </c>
      <c r="FA485">
        <v>56479</v>
      </c>
      <c r="FB485">
        <v>1295726362</v>
      </c>
    </row>
    <row r="486" spans="1:158" x14ac:dyDescent="0.2">
      <c r="DE486" s="489"/>
      <c r="DF486" s="489"/>
      <c r="DG486" s="489"/>
      <c r="DH486" s="431"/>
      <c r="DI486" s="431"/>
      <c r="DJ486" s="431"/>
      <c r="DK486" s="431"/>
      <c r="DL486" s="431"/>
      <c r="DM486" s="431"/>
      <c r="DN486" s="18"/>
      <c r="EI486" s="439"/>
      <c r="EJ486"/>
      <c r="EK486"/>
      <c r="EL486"/>
      <c r="EM486"/>
      <c r="EN486"/>
      <c r="EO486"/>
      <c r="EV486" s="439">
        <v>591</v>
      </c>
      <c r="EW486" t="s">
        <v>1138</v>
      </c>
      <c r="EX486" t="s">
        <v>854</v>
      </c>
      <c r="EY486" t="s">
        <v>1139</v>
      </c>
      <c r="EZ486" t="s">
        <v>54</v>
      </c>
      <c r="FA486">
        <v>56303</v>
      </c>
      <c r="FB486">
        <v>1659348092</v>
      </c>
    </row>
    <row r="487" spans="1:158" x14ac:dyDescent="0.2">
      <c r="DE487" s="489"/>
      <c r="DF487" s="489"/>
      <c r="DG487" s="489"/>
      <c r="DH487" s="431"/>
      <c r="DI487" s="431"/>
      <c r="DJ487" s="431"/>
      <c r="DK487" s="431"/>
      <c r="DL487" s="431"/>
      <c r="DM487" s="431"/>
      <c r="DN487" s="18"/>
      <c r="EI487" s="439"/>
      <c r="EJ487"/>
      <c r="EK487"/>
      <c r="EL487"/>
      <c r="EM487"/>
      <c r="EN487"/>
      <c r="EO487"/>
      <c r="EV487" s="439">
        <v>743</v>
      </c>
      <c r="EW487" t="s">
        <v>1164</v>
      </c>
      <c r="EX487" t="s">
        <v>854</v>
      </c>
      <c r="EY487" t="s">
        <v>1139</v>
      </c>
      <c r="EZ487" t="s">
        <v>54</v>
      </c>
      <c r="FA487">
        <v>56303</v>
      </c>
      <c r="FB487">
        <v>1689196339</v>
      </c>
    </row>
    <row r="488" spans="1:158" x14ac:dyDescent="0.2">
      <c r="DE488" s="489"/>
      <c r="DF488" s="489"/>
      <c r="DG488" s="489"/>
      <c r="DH488" s="431"/>
      <c r="DI488" s="431"/>
      <c r="DJ488" s="431"/>
      <c r="DK488" s="431"/>
      <c r="DL488" s="431"/>
      <c r="DM488" s="431"/>
      <c r="DN488" s="18"/>
      <c r="EI488" s="439"/>
      <c r="EJ488"/>
      <c r="EK488"/>
      <c r="EL488"/>
      <c r="EM488"/>
      <c r="EN488"/>
      <c r="EO488"/>
      <c r="EV488" s="439">
        <v>132</v>
      </c>
      <c r="EW488" t="s">
        <v>3165</v>
      </c>
      <c r="EX488" t="s">
        <v>854</v>
      </c>
      <c r="EY488" t="s">
        <v>3166</v>
      </c>
      <c r="EZ488" t="s">
        <v>54</v>
      </c>
      <c r="FA488">
        <v>56303</v>
      </c>
      <c r="FB488">
        <v>1043269798</v>
      </c>
    </row>
    <row r="489" spans="1:158" x14ac:dyDescent="0.2">
      <c r="DE489" s="489"/>
      <c r="DF489" s="489"/>
      <c r="DG489" s="489"/>
      <c r="DH489" s="431"/>
      <c r="DI489" s="431"/>
      <c r="DJ489" s="431"/>
      <c r="DK489" s="431"/>
      <c r="DL489" s="431"/>
      <c r="DM489" s="431"/>
      <c r="DN489" s="18"/>
      <c r="EI489" s="439"/>
      <c r="EJ489"/>
      <c r="EK489"/>
      <c r="EL489"/>
      <c r="EM489"/>
      <c r="EN489"/>
      <c r="EO489"/>
      <c r="EV489" s="439">
        <v>358</v>
      </c>
      <c r="EW489" t="s">
        <v>3167</v>
      </c>
      <c r="EX489" t="s">
        <v>854</v>
      </c>
      <c r="EY489" t="s">
        <v>3168</v>
      </c>
      <c r="EZ489" t="s">
        <v>54</v>
      </c>
      <c r="FA489">
        <v>56303</v>
      </c>
      <c r="FB489">
        <v>1861538613</v>
      </c>
    </row>
    <row r="490" spans="1:158" x14ac:dyDescent="0.2">
      <c r="DE490" s="489"/>
      <c r="DF490" s="489"/>
      <c r="DG490" s="489"/>
      <c r="DH490" s="431"/>
      <c r="DI490" s="431"/>
      <c r="DJ490" s="431"/>
      <c r="DK490" s="431"/>
      <c r="DL490" s="431"/>
      <c r="DM490" s="431"/>
      <c r="DN490" s="18"/>
      <c r="EI490" s="439"/>
      <c r="EJ490"/>
      <c r="EK490"/>
      <c r="EL490"/>
      <c r="EM490"/>
      <c r="EN490"/>
      <c r="EO490"/>
      <c r="EV490" s="439">
        <v>1860</v>
      </c>
      <c r="EW490" t="s">
        <v>1176</v>
      </c>
      <c r="EX490" t="s">
        <v>854</v>
      </c>
      <c r="EY490" t="s">
        <v>1177</v>
      </c>
      <c r="EZ490" t="s">
        <v>54</v>
      </c>
      <c r="FA490">
        <v>56301</v>
      </c>
      <c r="FB490">
        <v>1457967234</v>
      </c>
    </row>
    <row r="491" spans="1:158" x14ac:dyDescent="0.2">
      <c r="DN491" s="18"/>
      <c r="EI491" s="439"/>
      <c r="EJ491"/>
      <c r="EK491"/>
      <c r="EL491"/>
      <c r="EM491"/>
      <c r="EN491"/>
      <c r="EO491"/>
      <c r="EV491" s="439">
        <v>998</v>
      </c>
      <c r="EW491" t="s">
        <v>3169</v>
      </c>
      <c r="EX491" t="s">
        <v>854</v>
      </c>
      <c r="EY491" t="s">
        <v>3170</v>
      </c>
      <c r="EZ491" t="s">
        <v>54</v>
      </c>
      <c r="FA491">
        <v>56303</v>
      </c>
      <c r="FB491"/>
    </row>
    <row r="492" spans="1:158" x14ac:dyDescent="0.2">
      <c r="EI492" s="439"/>
      <c r="EJ492"/>
      <c r="EK492"/>
      <c r="EL492"/>
      <c r="EM492"/>
      <c r="EN492"/>
      <c r="EO492"/>
      <c r="EV492" s="439">
        <v>580</v>
      </c>
      <c r="EW492" t="s">
        <v>1421</v>
      </c>
      <c r="EX492" t="s">
        <v>854</v>
      </c>
      <c r="EY492" t="s">
        <v>1396</v>
      </c>
      <c r="EZ492" t="s">
        <v>54</v>
      </c>
      <c r="FA492">
        <v>56303</v>
      </c>
      <c r="FB492">
        <v>1598710477</v>
      </c>
    </row>
    <row r="493" spans="1:158" x14ac:dyDescent="0.2">
      <c r="EI493" s="439"/>
      <c r="EJ493"/>
      <c r="EK493"/>
      <c r="EL493"/>
      <c r="EM493"/>
      <c r="EN493"/>
      <c r="EO493"/>
      <c r="EV493" s="439">
        <v>710</v>
      </c>
      <c r="EW493" t="s">
        <v>3171</v>
      </c>
      <c r="EX493" t="s">
        <v>854</v>
      </c>
      <c r="EY493" t="s">
        <v>3172</v>
      </c>
      <c r="EZ493" t="s">
        <v>54</v>
      </c>
      <c r="FA493"/>
      <c r="FB493"/>
    </row>
    <row r="494" spans="1:158" x14ac:dyDescent="0.2">
      <c r="EI494" s="439"/>
      <c r="EJ494"/>
      <c r="EK494"/>
      <c r="EL494"/>
      <c r="EM494"/>
      <c r="EN494"/>
      <c r="EO494"/>
      <c r="EV494" s="439">
        <v>331</v>
      </c>
      <c r="EW494" t="s">
        <v>3173</v>
      </c>
      <c r="EX494" t="s">
        <v>854</v>
      </c>
      <c r="EY494" t="s">
        <v>3174</v>
      </c>
      <c r="EZ494" t="s">
        <v>54</v>
      </c>
      <c r="FA494">
        <v>56303</v>
      </c>
      <c r="FB494">
        <v>1467499293</v>
      </c>
    </row>
    <row r="495" spans="1:158" x14ac:dyDescent="0.2">
      <c r="EI495" s="439"/>
      <c r="EJ495"/>
      <c r="EK495"/>
      <c r="EL495"/>
      <c r="EM495"/>
      <c r="EN495"/>
      <c r="EO495"/>
      <c r="EV495" s="439">
        <v>764</v>
      </c>
      <c r="EW495" t="s">
        <v>2445</v>
      </c>
      <c r="EX495" t="s">
        <v>854</v>
      </c>
      <c r="EY495" t="s">
        <v>2446</v>
      </c>
      <c r="EZ495" t="s">
        <v>54</v>
      </c>
      <c r="FA495">
        <v>56303</v>
      </c>
      <c r="FB495">
        <v>1508882754</v>
      </c>
    </row>
    <row r="496" spans="1:158" x14ac:dyDescent="0.2">
      <c r="EI496" s="439"/>
      <c r="EJ496"/>
      <c r="EK496"/>
      <c r="EL496"/>
      <c r="EM496"/>
      <c r="EN496"/>
      <c r="EO496"/>
      <c r="EV496" s="439">
        <v>302</v>
      </c>
      <c r="EW496" t="s">
        <v>3175</v>
      </c>
      <c r="EX496" t="s">
        <v>854</v>
      </c>
      <c r="EY496" t="s">
        <v>3176</v>
      </c>
      <c r="EZ496" t="s">
        <v>54</v>
      </c>
      <c r="FA496">
        <v>56303</v>
      </c>
      <c r="FB496">
        <v>1124084843</v>
      </c>
    </row>
    <row r="497" spans="139:158" x14ac:dyDescent="0.2">
      <c r="EI497" s="439"/>
      <c r="EJ497"/>
      <c r="EK497"/>
      <c r="EL497"/>
      <c r="EM497"/>
      <c r="EN497"/>
      <c r="EO497"/>
      <c r="EV497" s="439">
        <v>212</v>
      </c>
      <c r="EW497" t="s">
        <v>3177</v>
      </c>
      <c r="EX497" t="s">
        <v>854</v>
      </c>
      <c r="EY497" t="s">
        <v>3178</v>
      </c>
      <c r="EZ497" t="s">
        <v>54</v>
      </c>
      <c r="FA497">
        <v>56303</v>
      </c>
      <c r="FB497">
        <v>1588614325</v>
      </c>
    </row>
    <row r="498" spans="139:158" x14ac:dyDescent="0.2">
      <c r="EI498" s="439"/>
      <c r="EJ498"/>
      <c r="EK498"/>
      <c r="EL498"/>
      <c r="EM498"/>
      <c r="EN498"/>
      <c r="EO498"/>
      <c r="EV498" s="439">
        <v>355</v>
      </c>
      <c r="EW498" t="s">
        <v>3179</v>
      </c>
      <c r="EX498" t="s">
        <v>2623</v>
      </c>
      <c r="EY498" t="s">
        <v>3180</v>
      </c>
      <c r="EZ498" t="s">
        <v>54</v>
      </c>
      <c r="FA498">
        <v>55082</v>
      </c>
      <c r="FB498">
        <v>1821049958</v>
      </c>
    </row>
    <row r="499" spans="139:158" x14ac:dyDescent="0.2">
      <c r="EI499" s="439"/>
      <c r="EJ499"/>
      <c r="EK499"/>
      <c r="EL499"/>
      <c r="EM499"/>
      <c r="EN499"/>
      <c r="EO499"/>
      <c r="EV499" s="439">
        <v>74</v>
      </c>
      <c r="EW499" t="s">
        <v>3181</v>
      </c>
      <c r="EX499" t="s">
        <v>2623</v>
      </c>
      <c r="EY499" t="s">
        <v>3182</v>
      </c>
      <c r="EZ499" t="s">
        <v>54</v>
      </c>
      <c r="FA499">
        <v>55082</v>
      </c>
      <c r="FB499">
        <v>1538138003</v>
      </c>
    </row>
    <row r="500" spans="139:158" x14ac:dyDescent="0.2">
      <c r="EI500" s="439"/>
      <c r="EJ500"/>
      <c r="EK500"/>
      <c r="EL500"/>
      <c r="EM500"/>
      <c r="EN500"/>
      <c r="EO500"/>
      <c r="EV500" s="439">
        <v>755</v>
      </c>
      <c r="EW500" t="s">
        <v>2622</v>
      </c>
      <c r="EX500" t="s">
        <v>2623</v>
      </c>
      <c r="EY500" t="s">
        <v>2624</v>
      </c>
      <c r="EZ500" t="s">
        <v>54</v>
      </c>
      <c r="FA500">
        <v>55082</v>
      </c>
      <c r="FB500">
        <v>1164474250</v>
      </c>
    </row>
    <row r="501" spans="139:158" x14ac:dyDescent="0.2">
      <c r="EI501" s="439"/>
      <c r="EJ501"/>
      <c r="EK501"/>
      <c r="EL501"/>
      <c r="EM501"/>
      <c r="EN501"/>
      <c r="EO501"/>
      <c r="EV501" s="439">
        <v>1235</v>
      </c>
      <c r="EW501" t="s">
        <v>3183</v>
      </c>
      <c r="EX501" t="s">
        <v>2623</v>
      </c>
      <c r="EY501" t="s">
        <v>3184</v>
      </c>
      <c r="EZ501" t="s">
        <v>54</v>
      </c>
      <c r="FA501">
        <v>55082</v>
      </c>
      <c r="FB501"/>
    </row>
    <row r="502" spans="139:158" x14ac:dyDescent="0.2">
      <c r="EI502" s="439"/>
      <c r="EJ502"/>
      <c r="EK502"/>
      <c r="EL502"/>
      <c r="EM502"/>
      <c r="EN502"/>
      <c r="EO502"/>
      <c r="EV502" s="439">
        <v>171</v>
      </c>
      <c r="EW502" t="s">
        <v>3185</v>
      </c>
      <c r="EX502" t="s">
        <v>3186</v>
      </c>
      <c r="EY502" t="s">
        <v>3187</v>
      </c>
      <c r="EZ502" t="s">
        <v>54</v>
      </c>
      <c r="FA502">
        <v>56081</v>
      </c>
      <c r="FB502">
        <v>1639198732</v>
      </c>
    </row>
    <row r="503" spans="139:158" x14ac:dyDescent="0.2">
      <c r="EI503" s="439"/>
      <c r="EJ503"/>
      <c r="EK503"/>
      <c r="EL503"/>
      <c r="EM503"/>
      <c r="EN503"/>
      <c r="EO503"/>
      <c r="EV503" s="439">
        <v>328</v>
      </c>
      <c r="EW503" t="s">
        <v>3188</v>
      </c>
      <c r="EX503" t="s">
        <v>871</v>
      </c>
      <c r="EY503" t="s">
        <v>869</v>
      </c>
      <c r="EZ503" t="s">
        <v>54</v>
      </c>
      <c r="FA503">
        <v>55416</v>
      </c>
      <c r="FB503">
        <v>1245207687</v>
      </c>
    </row>
    <row r="504" spans="139:158" x14ac:dyDescent="0.2">
      <c r="EI504" s="439"/>
      <c r="EJ504"/>
      <c r="EK504"/>
      <c r="EL504"/>
      <c r="EM504"/>
      <c r="EN504"/>
      <c r="EO504"/>
      <c r="EV504" s="439">
        <v>700</v>
      </c>
      <c r="EW504" t="s">
        <v>1572</v>
      </c>
      <c r="EX504" t="s">
        <v>871</v>
      </c>
      <c r="EY504" t="s">
        <v>1560</v>
      </c>
      <c r="EZ504" t="s">
        <v>54</v>
      </c>
      <c r="FA504">
        <v>55416</v>
      </c>
      <c r="FB504">
        <v>1336175744</v>
      </c>
    </row>
    <row r="505" spans="139:158" x14ac:dyDescent="0.2">
      <c r="EI505" s="439"/>
      <c r="EJ505"/>
      <c r="EK505"/>
      <c r="EL505"/>
      <c r="EM505"/>
      <c r="EN505"/>
      <c r="EO505"/>
      <c r="EV505" s="439">
        <v>1123</v>
      </c>
      <c r="EW505" t="s">
        <v>3189</v>
      </c>
      <c r="EX505" t="s">
        <v>871</v>
      </c>
      <c r="EY505" t="s">
        <v>3190</v>
      </c>
      <c r="EZ505" t="s">
        <v>54</v>
      </c>
      <c r="FA505">
        <v>55416</v>
      </c>
      <c r="FB505"/>
    </row>
    <row r="506" spans="139:158" x14ac:dyDescent="0.2">
      <c r="EI506" s="439"/>
      <c r="EJ506"/>
      <c r="EK506"/>
      <c r="EL506"/>
      <c r="EM506"/>
      <c r="EN506"/>
      <c r="EO506"/>
      <c r="EV506" s="439">
        <v>501</v>
      </c>
      <c r="EW506" t="s">
        <v>3191</v>
      </c>
      <c r="EX506" t="s">
        <v>871</v>
      </c>
      <c r="EY506" t="s">
        <v>3192</v>
      </c>
      <c r="EZ506" t="s">
        <v>54</v>
      </c>
      <c r="FA506">
        <v>55416</v>
      </c>
      <c r="FB506"/>
    </row>
    <row r="507" spans="139:158" x14ac:dyDescent="0.2">
      <c r="EI507" s="439"/>
      <c r="EJ507"/>
      <c r="EK507"/>
      <c r="EL507"/>
      <c r="EM507"/>
      <c r="EN507"/>
      <c r="EO507"/>
      <c r="EV507" s="439">
        <v>575</v>
      </c>
      <c r="EW507" t="s">
        <v>2205</v>
      </c>
      <c r="EX507" t="s">
        <v>871</v>
      </c>
      <c r="EY507" t="s">
        <v>2206</v>
      </c>
      <c r="EZ507" t="s">
        <v>54</v>
      </c>
      <c r="FA507">
        <v>55416</v>
      </c>
      <c r="FB507">
        <v>1780621904</v>
      </c>
    </row>
    <row r="508" spans="139:158" x14ac:dyDescent="0.2">
      <c r="EI508" s="439"/>
      <c r="EJ508"/>
      <c r="EK508"/>
      <c r="EL508"/>
      <c r="EM508"/>
      <c r="EN508"/>
      <c r="EO508"/>
      <c r="EV508" s="439">
        <v>86</v>
      </c>
      <c r="EW508" t="s">
        <v>3193</v>
      </c>
      <c r="EX508" t="s">
        <v>871</v>
      </c>
      <c r="EY508" t="s">
        <v>2186</v>
      </c>
      <c r="EZ508" t="s">
        <v>54</v>
      </c>
      <c r="FA508">
        <v>55426</v>
      </c>
      <c r="FB508">
        <v>1649220724</v>
      </c>
    </row>
    <row r="509" spans="139:158" x14ac:dyDescent="0.2">
      <c r="EI509" s="439"/>
      <c r="EJ509"/>
      <c r="EK509"/>
      <c r="EL509"/>
      <c r="EM509"/>
      <c r="EN509"/>
      <c r="EO509"/>
      <c r="EV509" s="439">
        <v>1141</v>
      </c>
      <c r="EW509" t="s">
        <v>2287</v>
      </c>
      <c r="EX509" t="s">
        <v>871</v>
      </c>
      <c r="EY509" t="s">
        <v>869</v>
      </c>
      <c r="EZ509" t="s">
        <v>54</v>
      </c>
      <c r="FA509">
        <v>55416</v>
      </c>
      <c r="FB509"/>
    </row>
    <row r="510" spans="139:158" x14ac:dyDescent="0.2">
      <c r="EI510" s="439"/>
      <c r="EJ510"/>
      <c r="EK510"/>
      <c r="EL510"/>
      <c r="EM510"/>
      <c r="EN510"/>
      <c r="EO510"/>
      <c r="EV510" s="439">
        <v>1658</v>
      </c>
      <c r="EW510" t="s">
        <v>2297</v>
      </c>
      <c r="EX510" t="s">
        <v>871</v>
      </c>
      <c r="EY510" t="s">
        <v>869</v>
      </c>
      <c r="EZ510" t="s">
        <v>54</v>
      </c>
      <c r="FA510">
        <v>55416</v>
      </c>
      <c r="FB510"/>
    </row>
    <row r="511" spans="139:158" x14ac:dyDescent="0.2">
      <c r="EI511" s="439"/>
      <c r="EJ511"/>
      <c r="EK511"/>
      <c r="EL511"/>
      <c r="EM511"/>
      <c r="EN511"/>
      <c r="EO511"/>
      <c r="EV511" s="439">
        <v>1681</v>
      </c>
      <c r="EW511" t="s">
        <v>2298</v>
      </c>
      <c r="EX511" t="s">
        <v>871</v>
      </c>
      <c r="EY511" t="s">
        <v>869</v>
      </c>
      <c r="EZ511" t="s">
        <v>54</v>
      </c>
      <c r="FA511">
        <v>55416</v>
      </c>
      <c r="FB511"/>
    </row>
    <row r="512" spans="139:158" x14ac:dyDescent="0.2">
      <c r="EI512" s="439"/>
      <c r="EJ512"/>
      <c r="EK512"/>
      <c r="EL512"/>
      <c r="EM512"/>
      <c r="EN512"/>
      <c r="EO512"/>
      <c r="EV512" s="439">
        <v>574</v>
      </c>
      <c r="EW512" t="s">
        <v>2283</v>
      </c>
      <c r="EX512" t="s">
        <v>871</v>
      </c>
      <c r="EY512" t="s">
        <v>869</v>
      </c>
      <c r="EZ512" t="s">
        <v>54</v>
      </c>
      <c r="FA512">
        <v>55416</v>
      </c>
      <c r="FB512">
        <v>1659348092</v>
      </c>
    </row>
    <row r="513" spans="152:158" x14ac:dyDescent="0.2">
      <c r="EV513" s="439">
        <v>305</v>
      </c>
      <c r="EW513" t="s">
        <v>3194</v>
      </c>
      <c r="EX513" t="s">
        <v>871</v>
      </c>
      <c r="EY513" t="s">
        <v>1560</v>
      </c>
      <c r="EZ513" t="s">
        <v>54</v>
      </c>
      <c r="FA513">
        <v>55416</v>
      </c>
      <c r="FB513">
        <v>1477519130</v>
      </c>
    </row>
    <row r="514" spans="152:158" x14ac:dyDescent="0.2">
      <c r="EV514" s="439">
        <v>680</v>
      </c>
      <c r="EW514" t="s">
        <v>1028</v>
      </c>
      <c r="EX514" t="s">
        <v>1029</v>
      </c>
      <c r="EY514" t="s">
        <v>1030</v>
      </c>
      <c r="EZ514" t="s">
        <v>54</v>
      </c>
      <c r="FA514">
        <v>55108</v>
      </c>
      <c r="FB514">
        <v>1710158357</v>
      </c>
    </row>
    <row r="515" spans="152:158" x14ac:dyDescent="0.2">
      <c r="EV515" s="439">
        <v>1072</v>
      </c>
      <c r="EW515" t="s">
        <v>3195</v>
      </c>
      <c r="EX515" t="s">
        <v>1029</v>
      </c>
      <c r="EY515" t="s">
        <v>3196</v>
      </c>
      <c r="EZ515" t="s">
        <v>54</v>
      </c>
      <c r="FA515">
        <v>55101</v>
      </c>
      <c r="FB515"/>
    </row>
    <row r="516" spans="152:158" x14ac:dyDescent="0.2">
      <c r="EV516" s="439">
        <v>16</v>
      </c>
      <c r="EW516" t="s">
        <v>3197</v>
      </c>
      <c r="EX516" t="s">
        <v>1029</v>
      </c>
      <c r="EY516" t="s">
        <v>3198</v>
      </c>
      <c r="EZ516" t="s">
        <v>54</v>
      </c>
      <c r="FA516">
        <v>55102</v>
      </c>
      <c r="FB516">
        <v>1629161781</v>
      </c>
    </row>
    <row r="517" spans="152:158" x14ac:dyDescent="0.2">
      <c r="EV517" s="439">
        <v>571</v>
      </c>
      <c r="EW517" t="s">
        <v>3199</v>
      </c>
      <c r="EX517" t="s">
        <v>1029</v>
      </c>
      <c r="EY517" t="s">
        <v>3200</v>
      </c>
      <c r="EZ517" t="s">
        <v>54</v>
      </c>
      <c r="FA517">
        <v>55106</v>
      </c>
      <c r="FB517"/>
    </row>
    <row r="518" spans="152:158" x14ac:dyDescent="0.2">
      <c r="EV518" s="439">
        <v>49</v>
      </c>
      <c r="EW518" t="s">
        <v>3201</v>
      </c>
      <c r="EX518" t="s">
        <v>1029</v>
      </c>
      <c r="EY518" t="s">
        <v>3202</v>
      </c>
      <c r="EZ518" t="s">
        <v>54</v>
      </c>
      <c r="FA518">
        <v>55101</v>
      </c>
      <c r="FB518">
        <v>1447352836</v>
      </c>
    </row>
    <row r="519" spans="152:158" x14ac:dyDescent="0.2">
      <c r="EV519" s="439">
        <v>683</v>
      </c>
      <c r="EW519" t="s">
        <v>3203</v>
      </c>
      <c r="EX519" t="s">
        <v>1029</v>
      </c>
      <c r="EY519" t="s">
        <v>3204</v>
      </c>
      <c r="EZ519" t="s">
        <v>54</v>
      </c>
      <c r="FA519">
        <v>55101</v>
      </c>
      <c r="FB519"/>
    </row>
    <row r="520" spans="152:158" x14ac:dyDescent="0.2">
      <c r="EV520" s="439">
        <v>502</v>
      </c>
      <c r="EW520" t="s">
        <v>3191</v>
      </c>
      <c r="EX520" t="s">
        <v>1029</v>
      </c>
      <c r="EY520" t="s">
        <v>3205</v>
      </c>
      <c r="EZ520" t="s">
        <v>54</v>
      </c>
      <c r="FA520">
        <v>55105</v>
      </c>
      <c r="FB520"/>
    </row>
    <row r="521" spans="152:158" x14ac:dyDescent="0.2">
      <c r="EV521" s="439">
        <v>10</v>
      </c>
      <c r="EW521" t="s">
        <v>3206</v>
      </c>
      <c r="EX521" t="s">
        <v>1029</v>
      </c>
      <c r="EY521" t="s">
        <v>3207</v>
      </c>
      <c r="EZ521" t="s">
        <v>54</v>
      </c>
      <c r="FA521">
        <v>55103</v>
      </c>
      <c r="FB521">
        <v>1194787465</v>
      </c>
    </row>
    <row r="522" spans="152:158" x14ac:dyDescent="0.2">
      <c r="EV522" s="439">
        <v>681</v>
      </c>
      <c r="EW522" t="s">
        <v>3208</v>
      </c>
      <c r="EX522" t="s">
        <v>1029</v>
      </c>
      <c r="EY522" t="s">
        <v>3209</v>
      </c>
      <c r="EZ522" t="s">
        <v>54</v>
      </c>
      <c r="FA522"/>
      <c r="FB522"/>
    </row>
    <row r="523" spans="152:158" x14ac:dyDescent="0.2">
      <c r="EV523" s="439">
        <v>584</v>
      </c>
      <c r="EW523" t="s">
        <v>1946</v>
      </c>
      <c r="EX523" t="s">
        <v>1029</v>
      </c>
      <c r="EY523" t="s">
        <v>1947</v>
      </c>
      <c r="EZ523" t="s">
        <v>54</v>
      </c>
      <c r="FA523">
        <v>55102</v>
      </c>
      <c r="FB523">
        <v>1720059264</v>
      </c>
    </row>
    <row r="524" spans="152:158" x14ac:dyDescent="0.2">
      <c r="EV524" s="439">
        <v>390</v>
      </c>
      <c r="EW524" t="s">
        <v>3210</v>
      </c>
      <c r="EX524" t="s">
        <v>1029</v>
      </c>
      <c r="EY524" t="s">
        <v>3211</v>
      </c>
      <c r="EZ524" t="s">
        <v>54</v>
      </c>
      <c r="FA524">
        <v>55114</v>
      </c>
      <c r="FB524">
        <v>1235539180</v>
      </c>
    </row>
    <row r="525" spans="152:158" x14ac:dyDescent="0.2">
      <c r="EV525" s="439">
        <v>823</v>
      </c>
      <c r="EW525" t="s">
        <v>2212</v>
      </c>
      <c r="EX525" t="s">
        <v>1029</v>
      </c>
      <c r="EY525" t="s">
        <v>3212</v>
      </c>
      <c r="EZ525" t="s">
        <v>54</v>
      </c>
      <c r="FA525">
        <v>55104</v>
      </c>
      <c r="FB525"/>
    </row>
    <row r="526" spans="152:158" x14ac:dyDescent="0.2">
      <c r="EV526" s="439">
        <v>1467</v>
      </c>
      <c r="EW526" t="s">
        <v>2260</v>
      </c>
      <c r="EX526" t="s">
        <v>1029</v>
      </c>
      <c r="EY526" t="s">
        <v>2261</v>
      </c>
      <c r="EZ526" t="s">
        <v>54</v>
      </c>
      <c r="FA526">
        <v>55116</v>
      </c>
      <c r="FB526">
        <v>1659348092</v>
      </c>
    </row>
    <row r="527" spans="152:158" x14ac:dyDescent="0.2">
      <c r="EV527" s="439">
        <v>151</v>
      </c>
      <c r="EW527" t="s">
        <v>3213</v>
      </c>
      <c r="EX527" t="s">
        <v>1029</v>
      </c>
      <c r="EY527" t="s">
        <v>3214</v>
      </c>
      <c r="EZ527" t="s">
        <v>54</v>
      </c>
      <c r="FA527">
        <v>55101</v>
      </c>
      <c r="FB527">
        <v>1629006457</v>
      </c>
    </row>
    <row r="528" spans="152:158" x14ac:dyDescent="0.2">
      <c r="EV528" s="439">
        <v>141</v>
      </c>
      <c r="EW528" t="s">
        <v>3215</v>
      </c>
      <c r="EX528" t="s">
        <v>1029</v>
      </c>
      <c r="EY528" t="s">
        <v>3216</v>
      </c>
      <c r="EZ528" t="s">
        <v>54</v>
      </c>
      <c r="FA528">
        <v>55102</v>
      </c>
      <c r="FB528">
        <v>1134186273</v>
      </c>
    </row>
    <row r="529" spans="152:158" x14ac:dyDescent="0.2">
      <c r="EV529" s="439">
        <v>1203</v>
      </c>
      <c r="EW529" t="s">
        <v>2435</v>
      </c>
      <c r="EX529" t="s">
        <v>1029</v>
      </c>
      <c r="EY529" t="s">
        <v>2436</v>
      </c>
      <c r="EZ529" t="s">
        <v>54</v>
      </c>
      <c r="FA529">
        <v>55103</v>
      </c>
      <c r="FB529">
        <v>1487104683</v>
      </c>
    </row>
    <row r="530" spans="152:158" x14ac:dyDescent="0.2">
      <c r="EV530" s="439">
        <v>749</v>
      </c>
      <c r="EW530" t="s">
        <v>2512</v>
      </c>
      <c r="EX530" t="s">
        <v>1029</v>
      </c>
      <c r="EY530" t="s">
        <v>2513</v>
      </c>
      <c r="EZ530" t="s">
        <v>54</v>
      </c>
      <c r="FA530">
        <v>55104</v>
      </c>
      <c r="FB530">
        <v>1306899463</v>
      </c>
    </row>
    <row r="531" spans="152:158" x14ac:dyDescent="0.2">
      <c r="EV531" s="439">
        <v>163</v>
      </c>
      <c r="EW531" t="s">
        <v>3217</v>
      </c>
      <c r="EX531" t="s">
        <v>1029</v>
      </c>
      <c r="EY531" t="s">
        <v>3218</v>
      </c>
      <c r="EZ531" t="s">
        <v>54</v>
      </c>
      <c r="FA531">
        <v>55102</v>
      </c>
      <c r="FB531">
        <v>1457319485</v>
      </c>
    </row>
    <row r="532" spans="152:158" x14ac:dyDescent="0.2">
      <c r="EV532" s="439">
        <v>1016</v>
      </c>
      <c r="EW532" t="s">
        <v>2659</v>
      </c>
      <c r="EX532" t="s">
        <v>1029</v>
      </c>
      <c r="EY532" t="s">
        <v>2660</v>
      </c>
      <c r="EZ532" t="s">
        <v>54</v>
      </c>
      <c r="FA532">
        <v>55104</v>
      </c>
      <c r="FB532">
        <v>1043643059</v>
      </c>
    </row>
    <row r="533" spans="152:158" x14ac:dyDescent="0.2">
      <c r="EV533" s="439">
        <v>570</v>
      </c>
      <c r="EW533" t="s">
        <v>3219</v>
      </c>
      <c r="EX533" t="s">
        <v>1029</v>
      </c>
      <c r="EY533" t="s">
        <v>3220</v>
      </c>
      <c r="EZ533" t="s">
        <v>54</v>
      </c>
      <c r="FA533">
        <v>55107</v>
      </c>
      <c r="FB533"/>
    </row>
    <row r="534" spans="152:158" x14ac:dyDescent="0.2">
      <c r="EV534" s="439">
        <v>599</v>
      </c>
      <c r="EW534" t="s">
        <v>1350</v>
      </c>
      <c r="EX534" t="s">
        <v>1351</v>
      </c>
      <c r="EY534" t="s">
        <v>1352</v>
      </c>
      <c r="EZ534" t="s">
        <v>54</v>
      </c>
      <c r="FA534">
        <v>56082</v>
      </c>
      <c r="FB534"/>
    </row>
    <row r="535" spans="152:158" x14ac:dyDescent="0.2">
      <c r="EV535" s="439">
        <v>22</v>
      </c>
      <c r="EW535" t="s">
        <v>3221</v>
      </c>
      <c r="EX535" t="s">
        <v>1351</v>
      </c>
      <c r="EY535" t="s">
        <v>3222</v>
      </c>
      <c r="EZ535" t="s">
        <v>54</v>
      </c>
      <c r="FA535">
        <v>56082</v>
      </c>
      <c r="FB535">
        <v>1407849367</v>
      </c>
    </row>
    <row r="536" spans="152:158" x14ac:dyDescent="0.2">
      <c r="EV536" s="439">
        <v>260</v>
      </c>
      <c r="EW536" t="s">
        <v>3223</v>
      </c>
      <c r="EX536" t="s">
        <v>2411</v>
      </c>
      <c r="EY536" t="s">
        <v>3224</v>
      </c>
      <c r="EZ536" t="s">
        <v>54</v>
      </c>
      <c r="FA536">
        <v>56701</v>
      </c>
      <c r="FB536"/>
    </row>
    <row r="537" spans="152:158" x14ac:dyDescent="0.2">
      <c r="EV537" s="439">
        <v>106</v>
      </c>
      <c r="EW537" t="s">
        <v>3225</v>
      </c>
      <c r="EX537" t="s">
        <v>2411</v>
      </c>
      <c r="EY537" t="s">
        <v>2412</v>
      </c>
      <c r="EZ537" t="s">
        <v>54</v>
      </c>
      <c r="FA537">
        <v>56701</v>
      </c>
      <c r="FB537">
        <v>1043218753</v>
      </c>
    </row>
    <row r="538" spans="152:158" x14ac:dyDescent="0.2">
      <c r="EV538" s="439">
        <v>763</v>
      </c>
      <c r="EW538" t="s">
        <v>2410</v>
      </c>
      <c r="EX538" t="s">
        <v>2411</v>
      </c>
      <c r="EY538" t="s">
        <v>2412</v>
      </c>
      <c r="EZ538" t="s">
        <v>54</v>
      </c>
      <c r="FA538">
        <v>56701</v>
      </c>
      <c r="FB538">
        <v>1679528194</v>
      </c>
    </row>
    <row r="539" spans="152:158" x14ac:dyDescent="0.2">
      <c r="EV539" s="439">
        <v>156</v>
      </c>
      <c r="EW539" t="s">
        <v>3226</v>
      </c>
      <c r="EX539" t="s">
        <v>3227</v>
      </c>
      <c r="EY539" t="s">
        <v>3228</v>
      </c>
      <c r="EZ539" t="s">
        <v>54</v>
      </c>
      <c r="FA539">
        <v>56175</v>
      </c>
      <c r="FB539">
        <v>1003851171</v>
      </c>
    </row>
    <row r="540" spans="152:158" x14ac:dyDescent="0.2">
      <c r="EV540" s="439">
        <v>72</v>
      </c>
      <c r="EW540" t="s">
        <v>3229</v>
      </c>
      <c r="EX540" t="s">
        <v>3230</v>
      </c>
      <c r="EY540" t="s">
        <v>3231</v>
      </c>
      <c r="EZ540" t="s">
        <v>54</v>
      </c>
      <c r="FA540">
        <v>55616</v>
      </c>
      <c r="FB540">
        <v>1023067642</v>
      </c>
    </row>
    <row r="541" spans="152:158" x14ac:dyDescent="0.2">
      <c r="EV541" s="439">
        <v>1</v>
      </c>
      <c r="EW541" t="s">
        <v>3232</v>
      </c>
      <c r="EX541" t="s">
        <v>3233</v>
      </c>
      <c r="EY541" t="s">
        <v>3234</v>
      </c>
      <c r="EZ541" t="s">
        <v>54</v>
      </c>
      <c r="FA541">
        <v>56178</v>
      </c>
      <c r="FB541">
        <v>1801840517</v>
      </c>
    </row>
    <row r="542" spans="152:158" x14ac:dyDescent="0.2">
      <c r="EV542" s="439">
        <v>1153</v>
      </c>
      <c r="EW542" t="s">
        <v>908</v>
      </c>
      <c r="EX542" t="s">
        <v>909</v>
      </c>
      <c r="EY542" t="s">
        <v>910</v>
      </c>
      <c r="EZ542" t="s">
        <v>54</v>
      </c>
      <c r="FA542">
        <v>55110</v>
      </c>
      <c r="FB542">
        <v>1861798654</v>
      </c>
    </row>
    <row r="543" spans="152:158" x14ac:dyDescent="0.2">
      <c r="EV543" s="439">
        <v>424</v>
      </c>
      <c r="EW543" t="s">
        <v>3235</v>
      </c>
      <c r="EX543" t="s">
        <v>909</v>
      </c>
      <c r="EY543" t="s">
        <v>910</v>
      </c>
      <c r="EZ543" t="s">
        <v>54</v>
      </c>
      <c r="FA543">
        <v>55110</v>
      </c>
      <c r="FB543"/>
    </row>
    <row r="544" spans="152:158" x14ac:dyDescent="0.2">
      <c r="EV544" s="439">
        <v>878</v>
      </c>
      <c r="EW544" t="s">
        <v>3236</v>
      </c>
      <c r="EX544" t="s">
        <v>909</v>
      </c>
      <c r="EY544" t="s">
        <v>3237</v>
      </c>
      <c r="EZ544" t="s">
        <v>54</v>
      </c>
      <c r="FA544">
        <v>55110</v>
      </c>
      <c r="FB544">
        <v>1902836133</v>
      </c>
    </row>
    <row r="545" spans="152:158" x14ac:dyDescent="0.2">
      <c r="EV545" s="439">
        <v>416</v>
      </c>
      <c r="EW545" t="s">
        <v>3238</v>
      </c>
      <c r="EX545" t="s">
        <v>909</v>
      </c>
      <c r="EY545" t="s">
        <v>3239</v>
      </c>
      <c r="EZ545" t="s">
        <v>54</v>
      </c>
      <c r="FA545">
        <v>55127</v>
      </c>
      <c r="FB545">
        <v>1669496345</v>
      </c>
    </row>
    <row r="546" spans="152:158" x14ac:dyDescent="0.2">
      <c r="EV546" s="439">
        <v>1385</v>
      </c>
      <c r="EW546" t="s">
        <v>2173</v>
      </c>
      <c r="EX546" t="s">
        <v>909</v>
      </c>
      <c r="EY546" t="s">
        <v>2174</v>
      </c>
      <c r="EZ546" t="s">
        <v>54</v>
      </c>
      <c r="FA546">
        <v>55127</v>
      </c>
      <c r="FB546">
        <v>1821195959</v>
      </c>
    </row>
    <row r="547" spans="152:158" x14ac:dyDescent="0.2">
      <c r="EV547" s="439">
        <v>1058</v>
      </c>
      <c r="EW547" t="s">
        <v>2537</v>
      </c>
      <c r="EX547" t="s">
        <v>909</v>
      </c>
      <c r="EY547" t="s">
        <v>2538</v>
      </c>
      <c r="EZ547" t="s">
        <v>54</v>
      </c>
      <c r="FA547">
        <v>55127</v>
      </c>
      <c r="FB547">
        <v>1306899463</v>
      </c>
    </row>
    <row r="548" spans="152:158" x14ac:dyDescent="0.2">
      <c r="EV548" s="439">
        <v>1020</v>
      </c>
      <c r="EW548" t="s">
        <v>2652</v>
      </c>
      <c r="EX548" t="s">
        <v>909</v>
      </c>
      <c r="EY548" t="s">
        <v>2653</v>
      </c>
      <c r="EZ548" t="s">
        <v>54</v>
      </c>
      <c r="FA548">
        <v>55110</v>
      </c>
      <c r="FB548">
        <v>1134468465</v>
      </c>
    </row>
    <row r="549" spans="152:158" x14ac:dyDescent="0.2">
      <c r="EV549" s="439">
        <v>380</v>
      </c>
      <c r="EW549" t="s">
        <v>3240</v>
      </c>
      <c r="EX549" t="s">
        <v>909</v>
      </c>
      <c r="EY549" t="s">
        <v>2538</v>
      </c>
      <c r="EZ549" t="s">
        <v>54</v>
      </c>
      <c r="FA549">
        <v>55127</v>
      </c>
      <c r="FB549">
        <v>1861825986</v>
      </c>
    </row>
    <row r="550" spans="152:158" x14ac:dyDescent="0.2">
      <c r="EV550" s="439">
        <v>167</v>
      </c>
      <c r="EW550" t="s">
        <v>3241</v>
      </c>
      <c r="EX550" t="s">
        <v>1605</v>
      </c>
      <c r="EY550" t="s">
        <v>3242</v>
      </c>
      <c r="EZ550" t="s">
        <v>54</v>
      </c>
      <c r="FA550">
        <v>55792</v>
      </c>
      <c r="FB550">
        <v>1083617120</v>
      </c>
    </row>
    <row r="551" spans="152:158" x14ac:dyDescent="0.2">
      <c r="EV551" s="439">
        <v>389</v>
      </c>
      <c r="EW551" t="s">
        <v>3243</v>
      </c>
      <c r="EX551" t="s">
        <v>1605</v>
      </c>
      <c r="EY551" t="s">
        <v>3244</v>
      </c>
      <c r="EZ551" t="s">
        <v>54</v>
      </c>
      <c r="FA551">
        <v>55792</v>
      </c>
      <c r="FB551">
        <v>1427471911</v>
      </c>
    </row>
    <row r="552" spans="152:158" x14ac:dyDescent="0.2">
      <c r="EV552" s="439">
        <v>1059</v>
      </c>
      <c r="EW552" t="s">
        <v>2465</v>
      </c>
      <c r="EX552" t="s">
        <v>1605</v>
      </c>
      <c r="EY552" t="s">
        <v>2466</v>
      </c>
      <c r="EZ552" t="s">
        <v>54</v>
      </c>
      <c r="FA552">
        <v>55792</v>
      </c>
      <c r="FB552">
        <v>1063464154</v>
      </c>
    </row>
    <row r="553" spans="152:158" x14ac:dyDescent="0.2">
      <c r="EV553" s="439">
        <v>133</v>
      </c>
      <c r="EW553" t="s">
        <v>3245</v>
      </c>
      <c r="EX553" t="s">
        <v>3246</v>
      </c>
      <c r="EY553" t="s">
        <v>3247</v>
      </c>
      <c r="EZ553" t="s">
        <v>54</v>
      </c>
      <c r="FA553">
        <v>55981</v>
      </c>
      <c r="FB553">
        <v>1659355600</v>
      </c>
    </row>
    <row r="554" spans="152:158" x14ac:dyDescent="0.2">
      <c r="EV554" s="439">
        <v>589</v>
      </c>
      <c r="EW554" t="s">
        <v>1816</v>
      </c>
      <c r="EX554" t="s">
        <v>1817</v>
      </c>
      <c r="EY554" t="s">
        <v>1818</v>
      </c>
      <c r="EZ554" t="s">
        <v>54</v>
      </c>
      <c r="FA554">
        <v>55387</v>
      </c>
      <c r="FB554">
        <v>1669599981</v>
      </c>
    </row>
    <row r="555" spans="152:158" x14ac:dyDescent="0.2">
      <c r="EV555" s="439">
        <v>168</v>
      </c>
      <c r="EW555" t="s">
        <v>3248</v>
      </c>
      <c r="EX555" t="s">
        <v>1817</v>
      </c>
      <c r="EY555" t="s">
        <v>3249</v>
      </c>
      <c r="EZ555" t="s">
        <v>54</v>
      </c>
      <c r="FA555">
        <v>55387</v>
      </c>
      <c r="FB555">
        <v>1275608457</v>
      </c>
    </row>
    <row r="556" spans="152:158" x14ac:dyDescent="0.2">
      <c r="EV556" s="439">
        <v>157</v>
      </c>
      <c r="EW556" t="s">
        <v>3250</v>
      </c>
      <c r="EX556" t="s">
        <v>1379</v>
      </c>
      <c r="EY556" t="s">
        <v>3251</v>
      </c>
      <c r="EZ556" t="s">
        <v>54</v>
      </c>
      <c r="FA556">
        <v>56482</v>
      </c>
      <c r="FB556">
        <v>1477545333</v>
      </c>
    </row>
    <row r="557" spans="152:158" x14ac:dyDescent="0.2">
      <c r="EV557" s="439">
        <v>860</v>
      </c>
      <c r="EW557" t="s">
        <v>1378</v>
      </c>
      <c r="EX557" t="s">
        <v>1379</v>
      </c>
      <c r="EY557" t="s">
        <v>1380</v>
      </c>
      <c r="EZ557" t="s">
        <v>54</v>
      </c>
      <c r="FA557">
        <v>56482</v>
      </c>
      <c r="FB557"/>
    </row>
    <row r="558" spans="152:158" x14ac:dyDescent="0.2">
      <c r="EV558" s="439">
        <v>1756</v>
      </c>
      <c r="EW558" t="s">
        <v>3252</v>
      </c>
      <c r="EX558" t="s">
        <v>3253</v>
      </c>
      <c r="EY558" t="s">
        <v>3254</v>
      </c>
      <c r="EZ558" t="s">
        <v>54</v>
      </c>
      <c r="FA558">
        <v>56762</v>
      </c>
      <c r="FB558"/>
    </row>
    <row r="559" spans="152:158" x14ac:dyDescent="0.2">
      <c r="EV559" s="439">
        <v>169</v>
      </c>
      <c r="EW559" t="s">
        <v>3255</v>
      </c>
      <c r="EX559" t="s">
        <v>3253</v>
      </c>
      <c r="EY559" t="s">
        <v>3256</v>
      </c>
      <c r="EZ559" t="s">
        <v>54</v>
      </c>
      <c r="FA559">
        <v>56762</v>
      </c>
      <c r="FB559">
        <v>1073516357</v>
      </c>
    </row>
    <row r="560" spans="152:158" x14ac:dyDescent="0.2">
      <c r="EV560" s="439">
        <v>577</v>
      </c>
      <c r="EW560" t="s">
        <v>3257</v>
      </c>
      <c r="EX560" t="s">
        <v>3258</v>
      </c>
      <c r="EY560" t="s">
        <v>3259</v>
      </c>
      <c r="EZ560" t="s">
        <v>54</v>
      </c>
      <c r="FA560">
        <v>56093</v>
      </c>
      <c r="FB560"/>
    </row>
    <row r="561" spans="152:158" x14ac:dyDescent="0.2">
      <c r="EV561" s="439">
        <v>170</v>
      </c>
      <c r="EW561" t="s">
        <v>3260</v>
      </c>
      <c r="EX561" t="s">
        <v>3258</v>
      </c>
      <c r="EY561" t="s">
        <v>3261</v>
      </c>
      <c r="EZ561" t="s">
        <v>54</v>
      </c>
      <c r="FA561">
        <v>56093</v>
      </c>
      <c r="FB561">
        <v>1740256668</v>
      </c>
    </row>
    <row r="562" spans="152:158" x14ac:dyDescent="0.2">
      <c r="EV562" s="439">
        <v>1101</v>
      </c>
      <c r="EW562" t="s">
        <v>2125</v>
      </c>
      <c r="EX562" t="s">
        <v>2126</v>
      </c>
      <c r="EY562" t="s">
        <v>2127</v>
      </c>
      <c r="EZ562" t="s">
        <v>54</v>
      </c>
      <c r="FA562">
        <v>55391</v>
      </c>
      <c r="FB562">
        <v>1265650956</v>
      </c>
    </row>
    <row r="563" spans="152:158" x14ac:dyDescent="0.2">
      <c r="EV563" s="439">
        <v>592</v>
      </c>
      <c r="EW563" t="s">
        <v>2208</v>
      </c>
      <c r="EX563" t="s">
        <v>2126</v>
      </c>
      <c r="EY563" t="s">
        <v>2209</v>
      </c>
      <c r="EZ563" t="s">
        <v>54</v>
      </c>
      <c r="FA563">
        <v>55391</v>
      </c>
      <c r="FB563">
        <v>1780621904</v>
      </c>
    </row>
    <row r="564" spans="152:158" x14ac:dyDescent="0.2">
      <c r="EV564" s="439">
        <v>384</v>
      </c>
      <c r="EW564" t="s">
        <v>3262</v>
      </c>
      <c r="EX564" t="s">
        <v>2126</v>
      </c>
      <c r="EY564" t="s">
        <v>3263</v>
      </c>
      <c r="EZ564" t="s">
        <v>54</v>
      </c>
      <c r="FA564">
        <v>55391</v>
      </c>
      <c r="FB564">
        <v>1134527880</v>
      </c>
    </row>
    <row r="565" spans="152:158" x14ac:dyDescent="0.2">
      <c r="EV565" s="439">
        <v>35</v>
      </c>
      <c r="EW565" t="s">
        <v>3264</v>
      </c>
      <c r="EX565" t="s">
        <v>3265</v>
      </c>
      <c r="EY565" t="s">
        <v>3266</v>
      </c>
      <c r="EZ565" t="s">
        <v>54</v>
      </c>
      <c r="FA565">
        <v>56183</v>
      </c>
      <c r="FB565">
        <v>1942253547</v>
      </c>
    </row>
    <row r="566" spans="152:158" x14ac:dyDescent="0.2">
      <c r="EV566" s="439">
        <v>566</v>
      </c>
      <c r="EW566" t="s">
        <v>1489</v>
      </c>
      <c r="EX566" t="s">
        <v>1490</v>
      </c>
      <c r="EY566" t="s">
        <v>1491</v>
      </c>
      <c r="EZ566" t="s">
        <v>992</v>
      </c>
      <c r="FA566">
        <v>58078</v>
      </c>
      <c r="FB566">
        <v>1972553758</v>
      </c>
    </row>
    <row r="567" spans="152:158" x14ac:dyDescent="0.2">
      <c r="EV567" s="439">
        <v>690</v>
      </c>
      <c r="EW567" t="s">
        <v>1498</v>
      </c>
      <c r="EX567" t="s">
        <v>1490</v>
      </c>
      <c r="EY567" t="s">
        <v>1491</v>
      </c>
      <c r="EZ567" t="s">
        <v>992</v>
      </c>
      <c r="FA567">
        <v>58078</v>
      </c>
      <c r="FB567">
        <v>1972553758</v>
      </c>
    </row>
    <row r="568" spans="152:158" x14ac:dyDescent="0.2">
      <c r="EV568" s="439">
        <v>1268</v>
      </c>
      <c r="EW568" t="s">
        <v>1499</v>
      </c>
      <c r="EX568" t="s">
        <v>1490</v>
      </c>
      <c r="EY568" t="s">
        <v>1491</v>
      </c>
      <c r="EZ568" t="s">
        <v>992</v>
      </c>
      <c r="FA568">
        <v>58078</v>
      </c>
      <c r="FB568">
        <v>1972553758</v>
      </c>
    </row>
    <row r="569" spans="152:158" x14ac:dyDescent="0.2">
      <c r="EV569" s="439">
        <v>1778</v>
      </c>
      <c r="EW569" t="s">
        <v>1500</v>
      </c>
      <c r="EX569" t="s">
        <v>1490</v>
      </c>
      <c r="EY569" t="s">
        <v>1491</v>
      </c>
      <c r="EZ569" t="s">
        <v>992</v>
      </c>
      <c r="FA569">
        <v>58078</v>
      </c>
      <c r="FB569">
        <v>1972553758</v>
      </c>
    </row>
    <row r="570" spans="152:158" x14ac:dyDescent="0.2">
      <c r="EV570" s="439">
        <v>1691</v>
      </c>
      <c r="EW570" t="s">
        <v>1502</v>
      </c>
      <c r="EX570" t="s">
        <v>1490</v>
      </c>
      <c r="EY570" t="s">
        <v>1491</v>
      </c>
      <c r="EZ570" t="s">
        <v>992</v>
      </c>
      <c r="FA570">
        <v>58078</v>
      </c>
      <c r="FB570">
        <v>1972553758</v>
      </c>
    </row>
    <row r="571" spans="152:158" x14ac:dyDescent="0.2">
      <c r="EV571" s="439">
        <v>611</v>
      </c>
      <c r="EW571" t="s">
        <v>1503</v>
      </c>
      <c r="EX571" t="s">
        <v>1490</v>
      </c>
      <c r="EY571" t="s">
        <v>1491</v>
      </c>
      <c r="EZ571" t="s">
        <v>992</v>
      </c>
      <c r="FA571">
        <v>58078</v>
      </c>
      <c r="FB571">
        <v>1972553758</v>
      </c>
    </row>
    <row r="572" spans="152:158" x14ac:dyDescent="0.2">
      <c r="EV572" s="439">
        <v>644</v>
      </c>
      <c r="EW572" t="s">
        <v>1504</v>
      </c>
      <c r="EX572" t="s">
        <v>1490</v>
      </c>
      <c r="EY572" t="s">
        <v>1491</v>
      </c>
      <c r="EZ572" t="s">
        <v>992</v>
      </c>
      <c r="FA572">
        <v>58078</v>
      </c>
      <c r="FB572">
        <v>1972553758</v>
      </c>
    </row>
    <row r="573" spans="152:158" x14ac:dyDescent="0.2">
      <c r="EV573" s="439">
        <v>806</v>
      </c>
      <c r="EW573" t="s">
        <v>1505</v>
      </c>
      <c r="EX573" t="s">
        <v>1490</v>
      </c>
      <c r="EY573" t="s">
        <v>1491</v>
      </c>
      <c r="EZ573" t="s">
        <v>992</v>
      </c>
      <c r="FA573">
        <v>58078</v>
      </c>
      <c r="FB573">
        <v>1972553758</v>
      </c>
    </row>
    <row r="574" spans="152:158" x14ac:dyDescent="0.2">
      <c r="EV574" s="439">
        <v>982</v>
      </c>
      <c r="EW574" t="s">
        <v>1506</v>
      </c>
      <c r="EX574" t="s">
        <v>1490</v>
      </c>
      <c r="EY574" t="s">
        <v>1491</v>
      </c>
      <c r="EZ574" t="s">
        <v>992</v>
      </c>
      <c r="FA574">
        <v>58078</v>
      </c>
      <c r="FB574">
        <v>1972553758</v>
      </c>
    </row>
    <row r="575" spans="152:158" x14ac:dyDescent="0.2">
      <c r="EV575" s="439">
        <v>671</v>
      </c>
      <c r="EW575" t="s">
        <v>1507</v>
      </c>
      <c r="EX575" t="s">
        <v>1490</v>
      </c>
      <c r="EY575" t="s">
        <v>1491</v>
      </c>
      <c r="EZ575" t="s">
        <v>992</v>
      </c>
      <c r="FA575">
        <v>58078</v>
      </c>
      <c r="FB575">
        <v>1972553758</v>
      </c>
    </row>
    <row r="576" spans="152:158" x14ac:dyDescent="0.2">
      <c r="EV576" s="439">
        <v>1692</v>
      </c>
      <c r="EW576" t="s">
        <v>1508</v>
      </c>
      <c r="EX576" t="s">
        <v>1490</v>
      </c>
      <c r="EY576" t="s">
        <v>1491</v>
      </c>
      <c r="EZ576" t="s">
        <v>992</v>
      </c>
      <c r="FA576">
        <v>58078</v>
      </c>
      <c r="FB576">
        <v>1972553758</v>
      </c>
    </row>
    <row r="577" spans="152:158" x14ac:dyDescent="0.2">
      <c r="EV577" s="439">
        <v>645</v>
      </c>
      <c r="EW577" t="s">
        <v>1509</v>
      </c>
      <c r="EX577" t="s">
        <v>1490</v>
      </c>
      <c r="EY577" t="s">
        <v>1491</v>
      </c>
      <c r="EZ577" t="s">
        <v>992</v>
      </c>
      <c r="FA577">
        <v>58078</v>
      </c>
      <c r="FB577">
        <v>1972553758</v>
      </c>
    </row>
    <row r="578" spans="152:158" x14ac:dyDescent="0.2">
      <c r="EV578" s="439">
        <v>647</v>
      </c>
      <c r="EW578" t="s">
        <v>1510</v>
      </c>
      <c r="EX578" t="s">
        <v>1490</v>
      </c>
      <c r="EY578" t="s">
        <v>1491</v>
      </c>
      <c r="EZ578" t="s">
        <v>992</v>
      </c>
      <c r="FA578">
        <v>58078</v>
      </c>
      <c r="FB578">
        <v>1972553758</v>
      </c>
    </row>
    <row r="579" spans="152:158" x14ac:dyDescent="0.2">
      <c r="EV579" s="439">
        <v>911</v>
      </c>
      <c r="EW579" t="s">
        <v>1511</v>
      </c>
      <c r="EX579" t="s">
        <v>1490</v>
      </c>
      <c r="EY579" t="s">
        <v>1491</v>
      </c>
      <c r="EZ579" t="s">
        <v>992</v>
      </c>
      <c r="FA579">
        <v>58078</v>
      </c>
      <c r="FB579">
        <v>1972553758</v>
      </c>
    </row>
    <row r="580" spans="152:158" x14ac:dyDescent="0.2">
      <c r="EV580" s="439">
        <v>663</v>
      </c>
      <c r="EW580" t="s">
        <v>1512</v>
      </c>
      <c r="EX580" t="s">
        <v>1490</v>
      </c>
      <c r="EY580" t="s">
        <v>1491</v>
      </c>
      <c r="EZ580" t="s">
        <v>992</v>
      </c>
      <c r="FA580">
        <v>58078</v>
      </c>
      <c r="FB580">
        <v>1972553758</v>
      </c>
    </row>
    <row r="581" spans="152:158" x14ac:dyDescent="0.2">
      <c r="EV581" s="439">
        <v>811</v>
      </c>
      <c r="EW581" t="s">
        <v>1513</v>
      </c>
      <c r="EX581" t="s">
        <v>1490</v>
      </c>
      <c r="EY581" t="s">
        <v>1491</v>
      </c>
      <c r="EZ581" t="s">
        <v>992</v>
      </c>
      <c r="FA581">
        <v>58078</v>
      </c>
      <c r="FB581">
        <v>1972553758</v>
      </c>
    </row>
    <row r="582" spans="152:158" x14ac:dyDescent="0.2">
      <c r="EV582" s="439">
        <v>969</v>
      </c>
      <c r="EW582" t="s">
        <v>1514</v>
      </c>
      <c r="EX582" t="s">
        <v>1490</v>
      </c>
      <c r="EY582" t="s">
        <v>1491</v>
      </c>
      <c r="EZ582" t="s">
        <v>992</v>
      </c>
      <c r="FA582">
        <v>58078</v>
      </c>
      <c r="FB582">
        <v>1972553758</v>
      </c>
    </row>
    <row r="583" spans="152:158" x14ac:dyDescent="0.2">
      <c r="EV583" s="439">
        <v>1446</v>
      </c>
      <c r="EW583" t="s">
        <v>1515</v>
      </c>
      <c r="EX583" t="s">
        <v>1490</v>
      </c>
      <c r="EY583" t="s">
        <v>1491</v>
      </c>
      <c r="EZ583" t="s">
        <v>992</v>
      </c>
      <c r="FA583">
        <v>58078</v>
      </c>
      <c r="FB583">
        <v>1972553758</v>
      </c>
    </row>
    <row r="584" spans="152:158" x14ac:dyDescent="0.2">
      <c r="EV584" s="439">
        <v>1001</v>
      </c>
      <c r="EW584" t="s">
        <v>1516</v>
      </c>
      <c r="EX584" t="s">
        <v>1490</v>
      </c>
      <c r="EY584" t="s">
        <v>1491</v>
      </c>
      <c r="EZ584" t="s">
        <v>992</v>
      </c>
      <c r="FA584">
        <v>58078</v>
      </c>
      <c r="FB584">
        <v>1972553758</v>
      </c>
    </row>
    <row r="585" spans="152:158" x14ac:dyDescent="0.2">
      <c r="EV585" s="439">
        <v>984</v>
      </c>
      <c r="EW585" t="s">
        <v>1517</v>
      </c>
      <c r="EX585" t="s">
        <v>1490</v>
      </c>
      <c r="EY585" t="s">
        <v>1491</v>
      </c>
      <c r="EZ585" t="s">
        <v>992</v>
      </c>
      <c r="FA585">
        <v>58078</v>
      </c>
      <c r="FB585">
        <v>1972553758</v>
      </c>
    </row>
    <row r="586" spans="152:158" x14ac:dyDescent="0.2">
      <c r="EV586" s="439">
        <v>985</v>
      </c>
      <c r="EW586" t="s">
        <v>1518</v>
      </c>
      <c r="EX586" t="s">
        <v>1490</v>
      </c>
      <c r="EY586" t="s">
        <v>1491</v>
      </c>
      <c r="EZ586" t="s">
        <v>992</v>
      </c>
      <c r="FA586">
        <v>58078</v>
      </c>
      <c r="FB586">
        <v>1972553758</v>
      </c>
    </row>
    <row r="587" spans="152:158" x14ac:dyDescent="0.2">
      <c r="EV587" s="439">
        <v>875</v>
      </c>
      <c r="EW587" t="s">
        <v>1519</v>
      </c>
      <c r="EX587" t="s">
        <v>1490</v>
      </c>
      <c r="EY587" t="s">
        <v>1491</v>
      </c>
      <c r="EZ587" t="s">
        <v>992</v>
      </c>
      <c r="FA587">
        <v>58078</v>
      </c>
      <c r="FB587">
        <v>1972553758</v>
      </c>
    </row>
    <row r="588" spans="152:158" x14ac:dyDescent="0.2">
      <c r="EV588" s="439">
        <v>1269</v>
      </c>
      <c r="EW588" t="s">
        <v>1520</v>
      </c>
      <c r="EX588" t="s">
        <v>1490</v>
      </c>
      <c r="EY588" t="s">
        <v>1491</v>
      </c>
      <c r="EZ588" t="s">
        <v>992</v>
      </c>
      <c r="FA588">
        <v>58078</v>
      </c>
      <c r="FB588">
        <v>1972553758</v>
      </c>
    </row>
    <row r="589" spans="152:158" x14ac:dyDescent="0.2">
      <c r="EV589" s="439">
        <v>1447</v>
      </c>
      <c r="EW589" t="s">
        <v>1521</v>
      </c>
      <c r="EX589" t="s">
        <v>1490</v>
      </c>
      <c r="EY589" t="s">
        <v>1491</v>
      </c>
      <c r="EZ589" t="s">
        <v>992</v>
      </c>
      <c r="FA589">
        <v>58078</v>
      </c>
      <c r="FB589">
        <v>1972553758</v>
      </c>
    </row>
    <row r="590" spans="152:158" x14ac:dyDescent="0.2">
      <c r="EV590" s="439">
        <v>1779</v>
      </c>
      <c r="EW590" t="s">
        <v>1522</v>
      </c>
      <c r="EX590" t="s">
        <v>1490</v>
      </c>
      <c r="EY590" t="s">
        <v>1491</v>
      </c>
      <c r="EZ590" t="s">
        <v>992</v>
      </c>
      <c r="FA590">
        <v>58078</v>
      </c>
      <c r="FB590">
        <v>1972553758</v>
      </c>
    </row>
    <row r="591" spans="152:158" x14ac:dyDescent="0.2">
      <c r="EV591" s="439">
        <v>950</v>
      </c>
      <c r="EW591" t="s">
        <v>1523</v>
      </c>
      <c r="EX591" t="s">
        <v>1490</v>
      </c>
      <c r="EY591" t="s">
        <v>1491</v>
      </c>
      <c r="EZ591" t="s">
        <v>992</v>
      </c>
      <c r="FA591">
        <v>58078</v>
      </c>
      <c r="FB591">
        <v>1972553758</v>
      </c>
    </row>
    <row r="592" spans="152:158" x14ac:dyDescent="0.2">
      <c r="EV592" s="439">
        <v>951</v>
      </c>
      <c r="EW592" t="s">
        <v>1524</v>
      </c>
      <c r="EX592" t="s">
        <v>1490</v>
      </c>
      <c r="EY592" t="s">
        <v>1491</v>
      </c>
      <c r="EZ592" t="s">
        <v>992</v>
      </c>
      <c r="FA592">
        <v>58078</v>
      </c>
      <c r="FB592">
        <v>1972553758</v>
      </c>
    </row>
    <row r="593" spans="152:158" x14ac:dyDescent="0.2">
      <c r="EV593" s="439">
        <v>1270</v>
      </c>
      <c r="EW593" t="s">
        <v>1525</v>
      </c>
      <c r="EX593" t="s">
        <v>1490</v>
      </c>
      <c r="EY593" t="s">
        <v>1491</v>
      </c>
      <c r="EZ593" t="s">
        <v>992</v>
      </c>
      <c r="FA593">
        <v>58078</v>
      </c>
      <c r="FB593">
        <v>1972553758</v>
      </c>
    </row>
    <row r="594" spans="152:158" x14ac:dyDescent="0.2">
      <c r="EV594" s="439">
        <v>603</v>
      </c>
      <c r="EW594" t="s">
        <v>1526</v>
      </c>
      <c r="EX594" t="s">
        <v>1490</v>
      </c>
      <c r="EY594" t="s">
        <v>1491</v>
      </c>
      <c r="EZ594" t="s">
        <v>992</v>
      </c>
      <c r="FA594">
        <v>58078</v>
      </c>
      <c r="FB594">
        <v>1972553758</v>
      </c>
    </row>
    <row r="595" spans="152:158" x14ac:dyDescent="0.2">
      <c r="EV595" s="439">
        <v>978</v>
      </c>
      <c r="EW595" t="s">
        <v>1527</v>
      </c>
      <c r="EX595" t="s">
        <v>1490</v>
      </c>
      <c r="EY595" t="s">
        <v>1491</v>
      </c>
      <c r="EZ595" t="s">
        <v>992</v>
      </c>
      <c r="FA595">
        <v>58078</v>
      </c>
      <c r="FB595">
        <v>1972553758</v>
      </c>
    </row>
    <row r="596" spans="152:158" x14ac:dyDescent="0.2">
      <c r="EV596" s="439">
        <v>1047</v>
      </c>
      <c r="EW596" t="s">
        <v>1528</v>
      </c>
      <c r="EX596" t="s">
        <v>1490</v>
      </c>
      <c r="EY596" t="s">
        <v>1491</v>
      </c>
      <c r="EZ596" t="s">
        <v>992</v>
      </c>
      <c r="FA596">
        <v>58078</v>
      </c>
      <c r="FB596">
        <v>1972553758</v>
      </c>
    </row>
    <row r="597" spans="152:158" x14ac:dyDescent="0.2">
      <c r="EV597" s="439">
        <v>1048</v>
      </c>
      <c r="EW597" t="s">
        <v>1529</v>
      </c>
      <c r="EX597" t="s">
        <v>1490</v>
      </c>
      <c r="EY597" t="s">
        <v>1491</v>
      </c>
      <c r="EZ597" t="s">
        <v>992</v>
      </c>
      <c r="FA597">
        <v>58078</v>
      </c>
      <c r="FB597">
        <v>1972553758</v>
      </c>
    </row>
    <row r="598" spans="152:158" x14ac:dyDescent="0.2">
      <c r="EV598" s="439">
        <v>1137</v>
      </c>
      <c r="EW598" t="s">
        <v>1530</v>
      </c>
      <c r="EX598" t="s">
        <v>1490</v>
      </c>
      <c r="EY598" t="s">
        <v>1491</v>
      </c>
      <c r="EZ598" t="s">
        <v>992</v>
      </c>
      <c r="FA598">
        <v>58078</v>
      </c>
      <c r="FB598">
        <v>1972553758</v>
      </c>
    </row>
    <row r="599" spans="152:158" x14ac:dyDescent="0.2">
      <c r="EV599" s="439">
        <v>1392</v>
      </c>
      <c r="EW599" t="s">
        <v>1531</v>
      </c>
      <c r="EX599" t="s">
        <v>1490</v>
      </c>
      <c r="EY599" t="s">
        <v>1491</v>
      </c>
      <c r="EZ599" t="s">
        <v>992</v>
      </c>
      <c r="FA599">
        <v>58078</v>
      </c>
      <c r="FB599">
        <v>1972553758</v>
      </c>
    </row>
    <row r="600" spans="152:158" x14ac:dyDescent="0.2">
      <c r="EV600" s="439">
        <v>1848</v>
      </c>
      <c r="EW600" t="s">
        <v>1532</v>
      </c>
      <c r="EX600" t="s">
        <v>1490</v>
      </c>
      <c r="EY600" t="s">
        <v>1491</v>
      </c>
      <c r="EZ600" t="s">
        <v>992</v>
      </c>
      <c r="FA600">
        <v>58078</v>
      </c>
      <c r="FB600">
        <v>1972553758</v>
      </c>
    </row>
    <row r="601" spans="152:158" x14ac:dyDescent="0.2">
      <c r="EV601" s="439">
        <v>1849</v>
      </c>
      <c r="EW601" t="s">
        <v>1533</v>
      </c>
      <c r="EX601" t="s">
        <v>1490</v>
      </c>
      <c r="EY601" t="s">
        <v>1491</v>
      </c>
      <c r="EZ601" t="s">
        <v>992</v>
      </c>
      <c r="FA601">
        <v>58078</v>
      </c>
      <c r="FB601">
        <v>1972553758</v>
      </c>
    </row>
    <row r="602" spans="152:158" x14ac:dyDescent="0.2">
      <c r="EV602" s="439">
        <v>917</v>
      </c>
      <c r="EW602" t="s">
        <v>1534</v>
      </c>
      <c r="EX602" t="s">
        <v>1490</v>
      </c>
      <c r="EY602" t="s">
        <v>1491</v>
      </c>
      <c r="EZ602" t="s">
        <v>992</v>
      </c>
      <c r="FA602">
        <v>58078</v>
      </c>
      <c r="FB602">
        <v>1972553758</v>
      </c>
    </row>
    <row r="603" spans="152:158" x14ac:dyDescent="0.2">
      <c r="EV603" s="439">
        <v>1012</v>
      </c>
      <c r="EW603" t="s">
        <v>1535</v>
      </c>
      <c r="EX603" t="s">
        <v>1490</v>
      </c>
      <c r="EY603" t="s">
        <v>1491</v>
      </c>
      <c r="EZ603" t="s">
        <v>992</v>
      </c>
      <c r="FA603">
        <v>58078</v>
      </c>
      <c r="FB603">
        <v>1972553758</v>
      </c>
    </row>
    <row r="604" spans="152:158" x14ac:dyDescent="0.2">
      <c r="EV604" s="439">
        <v>979</v>
      </c>
      <c r="EW604" t="s">
        <v>1536</v>
      </c>
      <c r="EX604" t="s">
        <v>1490</v>
      </c>
      <c r="EY604" t="s">
        <v>1491</v>
      </c>
      <c r="EZ604" t="s">
        <v>992</v>
      </c>
      <c r="FA604">
        <v>58078</v>
      </c>
      <c r="FB604">
        <v>1972553758</v>
      </c>
    </row>
    <row r="605" spans="152:158" x14ac:dyDescent="0.2">
      <c r="EV605" s="439">
        <v>770</v>
      </c>
      <c r="EW605" t="s">
        <v>1537</v>
      </c>
      <c r="EX605" t="s">
        <v>1490</v>
      </c>
      <c r="EY605" t="s">
        <v>1491</v>
      </c>
      <c r="EZ605" t="s">
        <v>992</v>
      </c>
      <c r="FA605">
        <v>58078</v>
      </c>
      <c r="FB605">
        <v>1972553758</v>
      </c>
    </row>
    <row r="606" spans="152:158" x14ac:dyDescent="0.2">
      <c r="EV606" s="439">
        <v>1780</v>
      </c>
      <c r="EW606" t="s">
        <v>1538</v>
      </c>
      <c r="EX606" t="s">
        <v>1490</v>
      </c>
      <c r="EY606" t="s">
        <v>1491</v>
      </c>
      <c r="EZ606" t="s">
        <v>992</v>
      </c>
      <c r="FA606">
        <v>58078</v>
      </c>
      <c r="FB606">
        <v>1972553758</v>
      </c>
    </row>
    <row r="607" spans="152:158" x14ac:dyDescent="0.2">
      <c r="EV607" s="439">
        <v>1678</v>
      </c>
      <c r="EW607" t="s">
        <v>1539</v>
      </c>
      <c r="EX607" t="s">
        <v>1490</v>
      </c>
      <c r="EY607" t="s">
        <v>1491</v>
      </c>
      <c r="EZ607" t="s">
        <v>992</v>
      </c>
      <c r="FA607">
        <v>58078</v>
      </c>
      <c r="FB607">
        <v>1972553758</v>
      </c>
    </row>
    <row r="608" spans="152:158" x14ac:dyDescent="0.2">
      <c r="EV608" s="439">
        <v>1679</v>
      </c>
      <c r="EW608" t="s">
        <v>1540</v>
      </c>
      <c r="EX608" t="s">
        <v>1490</v>
      </c>
      <c r="EY608" t="s">
        <v>1491</v>
      </c>
      <c r="EZ608" t="s">
        <v>992</v>
      </c>
      <c r="FA608">
        <v>58078</v>
      </c>
      <c r="FB608">
        <v>1972553758</v>
      </c>
    </row>
    <row r="609" spans="152:158" x14ac:dyDescent="0.2">
      <c r="EV609" s="439">
        <v>1680</v>
      </c>
      <c r="EW609" t="s">
        <v>1541</v>
      </c>
      <c r="EX609" t="s">
        <v>1490</v>
      </c>
      <c r="EY609" t="s">
        <v>1491</v>
      </c>
      <c r="EZ609" t="s">
        <v>992</v>
      </c>
      <c r="FA609">
        <v>58078</v>
      </c>
      <c r="FB609">
        <v>1972553758</v>
      </c>
    </row>
    <row r="610" spans="152:158" x14ac:dyDescent="0.2">
      <c r="EV610" s="439">
        <v>1140</v>
      </c>
      <c r="EW610" t="s">
        <v>1542</v>
      </c>
      <c r="EX610" t="s">
        <v>1490</v>
      </c>
      <c r="EY610" t="s">
        <v>1491</v>
      </c>
      <c r="EZ610" t="s">
        <v>992</v>
      </c>
      <c r="FA610">
        <v>58078</v>
      </c>
      <c r="FB610"/>
    </row>
    <row r="611" spans="152:158" x14ac:dyDescent="0.2">
      <c r="EV611" s="439">
        <v>1865</v>
      </c>
      <c r="EW611" t="s">
        <v>1543</v>
      </c>
      <c r="EX611" t="s">
        <v>1490</v>
      </c>
      <c r="EY611" t="s">
        <v>1491</v>
      </c>
      <c r="EZ611" t="s">
        <v>992</v>
      </c>
      <c r="FA611">
        <v>58078</v>
      </c>
      <c r="FB611"/>
    </row>
    <row r="612" spans="152:158" x14ac:dyDescent="0.2">
      <c r="EV612" s="439">
        <v>1014</v>
      </c>
      <c r="EW612" t="s">
        <v>1544</v>
      </c>
      <c r="EX612" t="s">
        <v>1490</v>
      </c>
      <c r="EY612" t="s">
        <v>1491</v>
      </c>
      <c r="EZ612" t="s">
        <v>992</v>
      </c>
      <c r="FA612">
        <v>58078</v>
      </c>
      <c r="FB612">
        <v>1972553758</v>
      </c>
    </row>
    <row r="613" spans="152:158" x14ac:dyDescent="0.2">
      <c r="EV613" s="439">
        <v>1690</v>
      </c>
      <c r="EW613" t="s">
        <v>1545</v>
      </c>
      <c r="EX613" t="s">
        <v>1490</v>
      </c>
      <c r="EY613" t="s">
        <v>1491</v>
      </c>
      <c r="EZ613" t="s">
        <v>992</v>
      </c>
      <c r="FA613">
        <v>58078</v>
      </c>
      <c r="FB613"/>
    </row>
    <row r="614" spans="152:158" x14ac:dyDescent="0.2">
      <c r="EV614" s="439">
        <v>1850</v>
      </c>
      <c r="EW614" t="s">
        <v>1546</v>
      </c>
      <c r="EX614" t="s">
        <v>1490</v>
      </c>
      <c r="EY614" t="s">
        <v>1491</v>
      </c>
      <c r="EZ614" t="s">
        <v>992</v>
      </c>
      <c r="FA614">
        <v>58078</v>
      </c>
      <c r="FB614">
        <v>1972553758</v>
      </c>
    </row>
    <row r="615" spans="152:158" x14ac:dyDescent="0.2">
      <c r="EV615" s="439">
        <v>824</v>
      </c>
      <c r="EW615" t="s">
        <v>2212</v>
      </c>
      <c r="EX615" t="s">
        <v>3267</v>
      </c>
      <c r="EY615" t="s">
        <v>3268</v>
      </c>
      <c r="EZ615" t="s">
        <v>54</v>
      </c>
      <c r="FA615">
        <v>55118</v>
      </c>
      <c r="FB615"/>
    </row>
    <row r="616" spans="152:158" x14ac:dyDescent="0.2">
      <c r="EV616" s="439">
        <v>939</v>
      </c>
      <c r="EW616" t="s">
        <v>1363</v>
      </c>
      <c r="EX616" t="s">
        <v>1364</v>
      </c>
      <c r="EY616" t="s">
        <v>1365</v>
      </c>
      <c r="EZ616" t="s">
        <v>54</v>
      </c>
      <c r="FA616">
        <v>56296</v>
      </c>
      <c r="FB616"/>
    </row>
    <row r="617" spans="152:158" x14ac:dyDescent="0.2">
      <c r="EV617" s="439">
        <v>174</v>
      </c>
      <c r="EW617" t="s">
        <v>3269</v>
      </c>
      <c r="EX617" t="s">
        <v>1364</v>
      </c>
      <c r="EY617" t="s">
        <v>1365</v>
      </c>
      <c r="EZ617" t="s">
        <v>54</v>
      </c>
      <c r="FA617">
        <v>56296</v>
      </c>
      <c r="FB617">
        <v>1326045253</v>
      </c>
    </row>
    <row r="618" spans="152:158" x14ac:dyDescent="0.2">
      <c r="EV618" s="439">
        <v>795</v>
      </c>
      <c r="EW618" t="s">
        <v>3270</v>
      </c>
      <c r="EX618" t="s">
        <v>3271</v>
      </c>
      <c r="EY618" t="s">
        <v>3272</v>
      </c>
      <c r="EZ618" t="s">
        <v>54</v>
      </c>
      <c r="FA618">
        <v>56569</v>
      </c>
      <c r="FB618"/>
    </row>
    <row r="619" spans="152:158" x14ac:dyDescent="0.2">
      <c r="EV619" s="439">
        <v>677</v>
      </c>
      <c r="EW619" t="s">
        <v>841</v>
      </c>
      <c r="EX619" t="s">
        <v>842</v>
      </c>
      <c r="EY619" t="s">
        <v>843</v>
      </c>
      <c r="EZ619" t="s">
        <v>54</v>
      </c>
      <c r="FA619">
        <v>56201</v>
      </c>
      <c r="FB619">
        <v>1952363699</v>
      </c>
    </row>
    <row r="620" spans="152:158" x14ac:dyDescent="0.2">
      <c r="EV620" s="439">
        <v>118</v>
      </c>
      <c r="EW620" t="s">
        <v>3273</v>
      </c>
      <c r="EX620" t="s">
        <v>842</v>
      </c>
      <c r="EY620" t="s">
        <v>3274</v>
      </c>
      <c r="EZ620" t="s">
        <v>54</v>
      </c>
      <c r="FA620">
        <v>56201</v>
      </c>
      <c r="FB620">
        <v>1619064193</v>
      </c>
    </row>
    <row r="621" spans="152:158" x14ac:dyDescent="0.2">
      <c r="EV621" s="439">
        <v>209</v>
      </c>
      <c r="EW621" t="s">
        <v>3275</v>
      </c>
      <c r="EX621" t="s">
        <v>842</v>
      </c>
      <c r="EY621" t="s">
        <v>3276</v>
      </c>
      <c r="EZ621" t="s">
        <v>54</v>
      </c>
      <c r="FA621">
        <v>56201</v>
      </c>
      <c r="FB621">
        <v>1285760363</v>
      </c>
    </row>
    <row r="622" spans="152:158" x14ac:dyDescent="0.2">
      <c r="EV622" s="439">
        <v>351</v>
      </c>
      <c r="EW622" t="s">
        <v>3277</v>
      </c>
      <c r="EX622" t="s">
        <v>842</v>
      </c>
      <c r="EY622" t="s">
        <v>1777</v>
      </c>
      <c r="EZ622" t="s">
        <v>54</v>
      </c>
      <c r="FA622">
        <v>56201</v>
      </c>
      <c r="FB622">
        <v>1831200120</v>
      </c>
    </row>
    <row r="623" spans="152:158" x14ac:dyDescent="0.2">
      <c r="EV623" s="439">
        <v>1456</v>
      </c>
      <c r="EW623" t="s">
        <v>1776</v>
      </c>
      <c r="EX623" t="s">
        <v>842</v>
      </c>
      <c r="EY623" t="s">
        <v>1777</v>
      </c>
      <c r="EZ623" t="s">
        <v>54</v>
      </c>
      <c r="FA623">
        <v>56201</v>
      </c>
      <c r="FB623">
        <v>1952332629</v>
      </c>
    </row>
    <row r="624" spans="152:158" x14ac:dyDescent="0.2">
      <c r="EV624" s="439">
        <v>309</v>
      </c>
      <c r="EW624" t="s">
        <v>3278</v>
      </c>
      <c r="EX624" t="s">
        <v>842</v>
      </c>
      <c r="EY624" t="s">
        <v>3279</v>
      </c>
      <c r="EZ624" t="s">
        <v>54</v>
      </c>
      <c r="FA624">
        <v>56201</v>
      </c>
      <c r="FB624">
        <v>1265404115</v>
      </c>
    </row>
    <row r="625" spans="152:158" x14ac:dyDescent="0.2">
      <c r="EV625" s="439">
        <v>176</v>
      </c>
      <c r="EW625" t="s">
        <v>3280</v>
      </c>
      <c r="EX625" t="s">
        <v>3281</v>
      </c>
      <c r="EY625" t="s">
        <v>3282</v>
      </c>
      <c r="EZ625" t="s">
        <v>54</v>
      </c>
      <c r="FA625">
        <v>56101</v>
      </c>
      <c r="FB625">
        <v>1841288644</v>
      </c>
    </row>
    <row r="626" spans="152:158" x14ac:dyDescent="0.2">
      <c r="EV626" s="439">
        <v>410</v>
      </c>
      <c r="EW626" t="s">
        <v>1681</v>
      </c>
      <c r="EX626" t="s">
        <v>1662</v>
      </c>
      <c r="EY626" t="s">
        <v>1663</v>
      </c>
      <c r="EZ626" t="s">
        <v>54</v>
      </c>
      <c r="FA626">
        <v>55987</v>
      </c>
      <c r="FB626">
        <v>1952989603</v>
      </c>
    </row>
    <row r="627" spans="152:158" x14ac:dyDescent="0.2">
      <c r="EV627" s="439">
        <v>1434</v>
      </c>
      <c r="EW627" t="s">
        <v>1661</v>
      </c>
      <c r="EX627" t="s">
        <v>1662</v>
      </c>
      <c r="EY627" t="s">
        <v>1663</v>
      </c>
      <c r="EZ627" t="s">
        <v>54</v>
      </c>
      <c r="FA627">
        <v>55987</v>
      </c>
      <c r="FB627">
        <v>1952959603</v>
      </c>
    </row>
    <row r="628" spans="152:158" x14ac:dyDescent="0.2">
      <c r="EV628" s="439">
        <v>27</v>
      </c>
      <c r="EW628" t="s">
        <v>3283</v>
      </c>
      <c r="EX628" t="s">
        <v>1662</v>
      </c>
      <c r="EY628" t="s">
        <v>3284</v>
      </c>
      <c r="EZ628" t="s">
        <v>54</v>
      </c>
      <c r="FA628">
        <v>55987</v>
      </c>
      <c r="FB628">
        <v>1295789352</v>
      </c>
    </row>
    <row r="629" spans="152:158" x14ac:dyDescent="0.2">
      <c r="EV629" s="439">
        <v>1466</v>
      </c>
      <c r="EW629" t="s">
        <v>834</v>
      </c>
      <c r="EX629" t="s">
        <v>835</v>
      </c>
      <c r="EY629" t="s">
        <v>836</v>
      </c>
      <c r="EZ629" t="s">
        <v>54</v>
      </c>
      <c r="FA629">
        <v>55125</v>
      </c>
      <c r="FB629">
        <v>1881168441</v>
      </c>
    </row>
    <row r="630" spans="152:158" x14ac:dyDescent="0.2">
      <c r="EV630" s="439">
        <v>693</v>
      </c>
      <c r="EW630" t="s">
        <v>959</v>
      </c>
      <c r="EX630" t="s">
        <v>835</v>
      </c>
      <c r="EY630" t="s">
        <v>960</v>
      </c>
      <c r="EZ630" t="s">
        <v>54</v>
      </c>
      <c r="FA630">
        <v>55125</v>
      </c>
      <c r="FB630">
        <v>1134169071</v>
      </c>
    </row>
    <row r="631" spans="152:158" x14ac:dyDescent="0.2">
      <c r="EV631" s="439">
        <v>382</v>
      </c>
      <c r="EW631" t="s">
        <v>3285</v>
      </c>
      <c r="EX631" t="s">
        <v>835</v>
      </c>
      <c r="EY631" t="s">
        <v>1144</v>
      </c>
      <c r="EZ631" t="s">
        <v>54</v>
      </c>
      <c r="FA631">
        <v>55125</v>
      </c>
      <c r="FB631">
        <v>1659348092</v>
      </c>
    </row>
    <row r="632" spans="152:158" x14ac:dyDescent="0.2">
      <c r="EV632" s="439">
        <v>773</v>
      </c>
      <c r="EW632" t="s">
        <v>1143</v>
      </c>
      <c r="EX632" t="s">
        <v>835</v>
      </c>
      <c r="EY632" t="s">
        <v>1144</v>
      </c>
      <c r="EZ632" t="s">
        <v>54</v>
      </c>
      <c r="FA632">
        <v>55125</v>
      </c>
      <c r="FB632">
        <v>1659348092</v>
      </c>
    </row>
    <row r="633" spans="152:158" x14ac:dyDescent="0.2">
      <c r="EV633" s="439">
        <v>187</v>
      </c>
      <c r="EW633" t="s">
        <v>3286</v>
      </c>
      <c r="EX633" t="s">
        <v>835</v>
      </c>
      <c r="EY633" t="s">
        <v>3287</v>
      </c>
      <c r="EZ633" t="s">
        <v>54</v>
      </c>
      <c r="FA633">
        <v>55125</v>
      </c>
      <c r="FB633">
        <v>1356309322</v>
      </c>
    </row>
    <row r="634" spans="152:158" x14ac:dyDescent="0.2">
      <c r="EV634" s="439">
        <v>1863</v>
      </c>
      <c r="EW634" t="s">
        <v>1709</v>
      </c>
      <c r="EX634" t="s">
        <v>835</v>
      </c>
      <c r="EY634" t="s">
        <v>1710</v>
      </c>
      <c r="EZ634" t="s">
        <v>54</v>
      </c>
      <c r="FA634">
        <v>55125</v>
      </c>
      <c r="FB634"/>
    </row>
    <row r="635" spans="152:158" x14ac:dyDescent="0.2">
      <c r="EV635" s="439">
        <v>303</v>
      </c>
      <c r="EW635" t="s">
        <v>3288</v>
      </c>
      <c r="EX635" t="s">
        <v>835</v>
      </c>
      <c r="EY635" t="s">
        <v>2657</v>
      </c>
      <c r="EZ635" t="s">
        <v>54</v>
      </c>
      <c r="FA635">
        <v>55125</v>
      </c>
      <c r="FB635">
        <v>1811973639</v>
      </c>
    </row>
    <row r="636" spans="152:158" x14ac:dyDescent="0.2">
      <c r="EV636" s="439">
        <v>333</v>
      </c>
      <c r="EW636" t="s">
        <v>3289</v>
      </c>
      <c r="EX636" t="s">
        <v>835</v>
      </c>
      <c r="EY636" t="s">
        <v>3290</v>
      </c>
      <c r="EZ636" t="s">
        <v>54</v>
      </c>
      <c r="FA636">
        <v>55125</v>
      </c>
      <c r="FB636">
        <v>1629130521</v>
      </c>
    </row>
    <row r="637" spans="152:158" x14ac:dyDescent="0.2">
      <c r="EV637" s="439">
        <v>399</v>
      </c>
      <c r="EW637" t="s">
        <v>3291</v>
      </c>
      <c r="EX637" t="s">
        <v>835</v>
      </c>
      <c r="EY637" t="s">
        <v>3292</v>
      </c>
      <c r="EZ637" t="s">
        <v>54</v>
      </c>
      <c r="FA637">
        <v>55125</v>
      </c>
      <c r="FB637">
        <v>1578003208</v>
      </c>
    </row>
    <row r="638" spans="152:158" x14ac:dyDescent="0.2">
      <c r="EV638" s="439">
        <v>1657</v>
      </c>
      <c r="EW638" t="s">
        <v>2007</v>
      </c>
      <c r="EX638" t="s">
        <v>835</v>
      </c>
      <c r="EY638" t="s">
        <v>1144</v>
      </c>
      <c r="EZ638" t="s">
        <v>54</v>
      </c>
      <c r="FA638">
        <v>55125</v>
      </c>
      <c r="FB638"/>
    </row>
    <row r="639" spans="152:158" x14ac:dyDescent="0.2">
      <c r="EV639" s="439">
        <v>406</v>
      </c>
      <c r="EW639" t="s">
        <v>3293</v>
      </c>
      <c r="EX639" t="s">
        <v>835</v>
      </c>
      <c r="EY639" t="s">
        <v>1710</v>
      </c>
      <c r="EZ639" t="s">
        <v>54</v>
      </c>
      <c r="FA639">
        <v>55125</v>
      </c>
      <c r="FB639">
        <v>1669496345</v>
      </c>
    </row>
    <row r="640" spans="152:158" x14ac:dyDescent="0.2">
      <c r="EV640" s="439">
        <v>1437</v>
      </c>
      <c r="EW640" t="s">
        <v>2158</v>
      </c>
      <c r="EX640" t="s">
        <v>835</v>
      </c>
      <c r="EY640" t="s">
        <v>2159</v>
      </c>
      <c r="EZ640" t="s">
        <v>54</v>
      </c>
      <c r="FA640">
        <v>55125</v>
      </c>
      <c r="FB640">
        <v>1821195959</v>
      </c>
    </row>
    <row r="641" spans="152:158" x14ac:dyDescent="0.2">
      <c r="EV641" s="439">
        <v>899</v>
      </c>
      <c r="EW641" t="s">
        <v>3017</v>
      </c>
      <c r="EX641" t="s">
        <v>835</v>
      </c>
      <c r="EY641" t="s">
        <v>3294</v>
      </c>
      <c r="EZ641" t="s">
        <v>54</v>
      </c>
      <c r="FA641">
        <v>55125</v>
      </c>
      <c r="FB641"/>
    </row>
    <row r="642" spans="152:158" x14ac:dyDescent="0.2">
      <c r="EV642" s="439">
        <v>751</v>
      </c>
      <c r="EW642" t="s">
        <v>2540</v>
      </c>
      <c r="EX642" t="s">
        <v>835</v>
      </c>
      <c r="EY642" t="s">
        <v>2541</v>
      </c>
      <c r="EZ642" t="s">
        <v>54</v>
      </c>
      <c r="FA642">
        <v>55125</v>
      </c>
      <c r="FB642">
        <v>1306899463</v>
      </c>
    </row>
    <row r="643" spans="152:158" x14ac:dyDescent="0.2">
      <c r="EV643" s="439">
        <v>1315</v>
      </c>
      <c r="EW643" t="s">
        <v>2567</v>
      </c>
      <c r="EX643" t="s">
        <v>835</v>
      </c>
      <c r="EY643" t="s">
        <v>2568</v>
      </c>
      <c r="EZ643" t="s">
        <v>54</v>
      </c>
      <c r="FA643">
        <v>55125</v>
      </c>
      <c r="FB643">
        <v>1518273085</v>
      </c>
    </row>
    <row r="644" spans="152:158" x14ac:dyDescent="0.2">
      <c r="EV644" s="439">
        <v>398</v>
      </c>
      <c r="EW644" t="s">
        <v>3295</v>
      </c>
      <c r="EX644" t="s">
        <v>835</v>
      </c>
      <c r="EY644" t="s">
        <v>2568</v>
      </c>
      <c r="EZ644" t="s">
        <v>54</v>
      </c>
      <c r="FA644">
        <v>55125</v>
      </c>
      <c r="FB644">
        <v>1053314013</v>
      </c>
    </row>
    <row r="645" spans="152:158" x14ac:dyDescent="0.2">
      <c r="EV645" s="439">
        <v>1479</v>
      </c>
      <c r="EW645" t="s">
        <v>2583</v>
      </c>
      <c r="EX645" t="s">
        <v>835</v>
      </c>
      <c r="EY645" t="s">
        <v>2591</v>
      </c>
      <c r="EZ645" t="s">
        <v>54</v>
      </c>
      <c r="FA645">
        <v>55125</v>
      </c>
      <c r="FB645">
        <v>1285179945</v>
      </c>
    </row>
    <row r="646" spans="152:158" x14ac:dyDescent="0.2">
      <c r="EV646" s="439">
        <v>1407</v>
      </c>
      <c r="EW646" t="s">
        <v>2625</v>
      </c>
      <c r="EX646" t="s">
        <v>835</v>
      </c>
      <c r="EY646" t="s">
        <v>2626</v>
      </c>
      <c r="EZ646" t="s">
        <v>54</v>
      </c>
      <c r="FA646">
        <v>55129</v>
      </c>
      <c r="FB646">
        <v>1164474250</v>
      </c>
    </row>
    <row r="647" spans="152:158" x14ac:dyDescent="0.2">
      <c r="EV647" s="439">
        <v>538</v>
      </c>
      <c r="EW647" t="s">
        <v>2656</v>
      </c>
      <c r="EX647" t="s">
        <v>835</v>
      </c>
      <c r="EY647" t="s">
        <v>2657</v>
      </c>
      <c r="EZ647" t="s">
        <v>54</v>
      </c>
      <c r="FA647">
        <v>55125</v>
      </c>
      <c r="FB647">
        <v>1972734721</v>
      </c>
    </row>
    <row r="648" spans="152:158" x14ac:dyDescent="0.2">
      <c r="EV648" s="439">
        <v>413</v>
      </c>
      <c r="EW648" t="s">
        <v>3296</v>
      </c>
      <c r="EX648" t="s">
        <v>835</v>
      </c>
      <c r="EY648" t="s">
        <v>3297</v>
      </c>
      <c r="EZ648" t="s">
        <v>54</v>
      </c>
      <c r="FA648">
        <v>55125</v>
      </c>
      <c r="FB648">
        <v>1669079992</v>
      </c>
    </row>
    <row r="649" spans="152:158" x14ac:dyDescent="0.2">
      <c r="EV649" s="439">
        <v>1861</v>
      </c>
      <c r="EW649" t="s">
        <v>1042</v>
      </c>
      <c r="EX649" t="s">
        <v>1043</v>
      </c>
      <c r="EY649" t="s">
        <v>1044</v>
      </c>
      <c r="EZ649" t="s">
        <v>54</v>
      </c>
      <c r="FA649">
        <v>56187</v>
      </c>
      <c r="FB649">
        <v>1306939806</v>
      </c>
    </row>
    <row r="650" spans="152:158" x14ac:dyDescent="0.2">
      <c r="EV650" s="439">
        <v>177</v>
      </c>
      <c r="EW650" t="s">
        <v>3298</v>
      </c>
      <c r="EX650" t="s">
        <v>1043</v>
      </c>
      <c r="EY650" t="s">
        <v>3299</v>
      </c>
      <c r="EZ650" t="s">
        <v>54</v>
      </c>
      <c r="FA650">
        <v>56187</v>
      </c>
      <c r="FB650">
        <v>1396712618</v>
      </c>
    </row>
    <row r="651" spans="152:158" x14ac:dyDescent="0.2">
      <c r="EV651" s="439">
        <v>861</v>
      </c>
      <c r="EW651" t="s">
        <v>1302</v>
      </c>
      <c r="EX651" t="s">
        <v>1303</v>
      </c>
      <c r="EY651" t="s">
        <v>1304</v>
      </c>
      <c r="EZ651" t="s">
        <v>54</v>
      </c>
      <c r="FA651">
        <v>55092</v>
      </c>
      <c r="FB651"/>
    </row>
    <row r="652" spans="152:158" x14ac:dyDescent="0.2">
      <c r="EV652" s="439">
        <v>186</v>
      </c>
      <c r="EW652" t="s">
        <v>3300</v>
      </c>
      <c r="EX652" t="s">
        <v>1303</v>
      </c>
      <c r="EY652" t="s">
        <v>1304</v>
      </c>
      <c r="EZ652" t="s">
        <v>54</v>
      </c>
      <c r="FA652">
        <v>55092</v>
      </c>
      <c r="FB652">
        <v>1083692941</v>
      </c>
    </row>
    <row r="653" spans="152:158" x14ac:dyDescent="0.2">
      <c r="EV653" s="439">
        <v>668</v>
      </c>
      <c r="EW653" t="s">
        <v>1094</v>
      </c>
      <c r="EX653" t="s">
        <v>1303</v>
      </c>
      <c r="EY653" t="s">
        <v>3301</v>
      </c>
      <c r="EZ653" t="s">
        <v>54</v>
      </c>
      <c r="FA653"/>
      <c r="FB653"/>
    </row>
    <row r="654" spans="152:158" x14ac:dyDescent="0.2">
      <c r="EV654" s="439">
        <v>1971</v>
      </c>
      <c r="EW654" t="s">
        <v>3302</v>
      </c>
      <c r="EX654"/>
      <c r="EY654"/>
      <c r="EZ654"/>
      <c r="FA654"/>
      <c r="FB654"/>
    </row>
    <row r="655" spans="152:158" x14ac:dyDescent="0.2">
      <c r="EV655" s="439">
        <v>1493</v>
      </c>
      <c r="EW655" t="s">
        <v>2694</v>
      </c>
      <c r="EX655"/>
      <c r="EY655"/>
      <c r="EZ655"/>
      <c r="FA655"/>
      <c r="FB655"/>
    </row>
    <row r="656" spans="152:158" x14ac:dyDescent="0.2">
      <c r="EV656" s="439">
        <v>1483</v>
      </c>
      <c r="EW656" t="s">
        <v>2695</v>
      </c>
      <c r="EX656"/>
      <c r="EY656"/>
      <c r="EZ656"/>
      <c r="FA656"/>
      <c r="FB656"/>
    </row>
    <row r="657" spans="152:158" x14ac:dyDescent="0.2">
      <c r="EV657" s="439">
        <v>1490</v>
      </c>
      <c r="EW657" t="s">
        <v>2696</v>
      </c>
      <c r="EX657"/>
      <c r="EY657"/>
      <c r="EZ657"/>
      <c r="FA657"/>
      <c r="FB657"/>
    </row>
    <row r="658" spans="152:158" x14ac:dyDescent="0.2">
      <c r="EV658" s="439">
        <v>1480</v>
      </c>
      <c r="EW658" t="s">
        <v>2697</v>
      </c>
      <c r="EX658"/>
      <c r="EY658"/>
      <c r="EZ658"/>
      <c r="FA658"/>
      <c r="FB658"/>
    </row>
    <row r="659" spans="152:158" x14ac:dyDescent="0.2">
      <c r="EV659" s="439">
        <v>1492</v>
      </c>
      <c r="EW659" t="s">
        <v>2700</v>
      </c>
      <c r="EX659"/>
      <c r="EY659"/>
      <c r="EZ659"/>
      <c r="FA659"/>
      <c r="FB659"/>
    </row>
    <row r="660" spans="152:158" x14ac:dyDescent="0.2">
      <c r="EV660" s="439">
        <v>1482</v>
      </c>
      <c r="EW660" t="s">
        <v>2701</v>
      </c>
      <c r="EX660"/>
      <c r="EY660"/>
      <c r="EZ660"/>
      <c r="FA660"/>
      <c r="FB660"/>
    </row>
    <row r="661" spans="152:158" x14ac:dyDescent="0.2">
      <c r="EV661" s="439">
        <v>1491</v>
      </c>
      <c r="EW661" t="s">
        <v>2698</v>
      </c>
      <c r="EX661"/>
      <c r="EY661"/>
      <c r="EZ661"/>
      <c r="FA661"/>
      <c r="FB661"/>
    </row>
    <row r="662" spans="152:158" x14ac:dyDescent="0.2">
      <c r="EV662" s="439">
        <v>1481</v>
      </c>
      <c r="EW662" t="s">
        <v>2699</v>
      </c>
      <c r="EX662"/>
      <c r="EY662"/>
      <c r="EZ662"/>
      <c r="FA662"/>
      <c r="FB662"/>
    </row>
    <row r="663" spans="152:158" x14ac:dyDescent="0.2">
      <c r="EV663" s="439">
        <v>1494</v>
      </c>
      <c r="EW663" t="s">
        <v>2705</v>
      </c>
      <c r="EX663"/>
      <c r="EY663"/>
      <c r="EZ663"/>
      <c r="FA663"/>
      <c r="FB663"/>
    </row>
    <row r="664" spans="152:158" x14ac:dyDescent="0.2">
      <c r="EV664" s="439">
        <v>1484</v>
      </c>
      <c r="EW664" t="s">
        <v>2704</v>
      </c>
      <c r="EX664"/>
      <c r="EY664"/>
      <c r="EZ664"/>
      <c r="FA664"/>
      <c r="FB664"/>
    </row>
    <row r="665" spans="152:158" x14ac:dyDescent="0.2">
      <c r="EV665" s="439">
        <v>1495</v>
      </c>
      <c r="EW665" t="s">
        <v>2702</v>
      </c>
      <c r="EX665"/>
      <c r="EY665"/>
      <c r="EZ665"/>
      <c r="FA665"/>
      <c r="FB665"/>
    </row>
    <row r="666" spans="152:158" x14ac:dyDescent="0.2">
      <c r="EV666" s="439">
        <v>1485</v>
      </c>
      <c r="EW666" t="s">
        <v>2703</v>
      </c>
      <c r="EX666"/>
      <c r="EY666"/>
      <c r="EZ666"/>
      <c r="FA666"/>
      <c r="FB666"/>
    </row>
  </sheetData>
  <sheetProtection algorithmName="SHA-512" hashValue="Fj6rgMu/9vi3PVBNhJGhaIX6oi7RkNBst4hkcl6ebH0sdT/XCfg7k9PGLcHBfB+ZSm32+Q3bgCEdHlyKTEISSg==" saltValue="i+2kqyO24c931HxphAZlxQ==" spinCount="100000" sheet="1" objects="1" scenarios="1"/>
  <sortState xmlns:xlrd2="http://schemas.microsoft.com/office/spreadsheetml/2017/richdata2" ref="A3:EG334">
    <sortCondition ref="B3:B334"/>
    <sortCondition ref="C3:C334"/>
  </sortState>
  <mergeCells count="2">
    <mergeCell ref="A1:C1"/>
    <mergeCell ref="EV1:FB1"/>
  </mergeCells>
  <phoneticPr fontId="0" type="noConversion"/>
  <conditionalFormatting sqref="A229">
    <cfRule type="duplicateValues" dxfId="1" priority="2"/>
  </conditionalFormatting>
  <conditionalFormatting sqref="DO229">
    <cfRule type="duplicateValues" dxfId="0" priority="1"/>
  </conditionalFormatting>
  <hyperlinks>
    <hyperlink ref="A3:A358" location="start" display="start" xr:uid="{040C649A-D67F-4F22-9257-CFCA56120C87}"/>
    <hyperlink ref="A3:A345" location="start" display="start" xr:uid="{91DA10FC-F032-47F1-B1B5-9752A37A2CCB}"/>
    <hyperlink ref="EV3:EV512" location="lease_id" display="lease_id" xr:uid="{74ED6B0E-2A05-4F15-BF98-55871510F527}"/>
    <hyperlink ref="EV513:EV666" location="lease_id" display="lease_id" xr:uid="{913CADF4-7024-4EF9-A7F2-6B112EF078CE}"/>
  </hyperlinks>
  <printOptions horizontalCentered="1"/>
  <pageMargins left="0.75" right="0.75" top="1" bottom="1" header="0.5" footer="0.5"/>
  <pageSetup scale="51" fitToHeight="15" orientation="portrait" r:id="rId1"/>
  <headerFooter alignWithMargins="0">
    <oddFooter>&amp;L&amp;"Calibri,Regular"Diagnostic Imaging Facility Utilization Report
Fiscal Year 2024
&amp;C&amp;"Calibri,Regular"&amp;P of &amp;N&amp;R&amp;"Calibri,Regular"Minnesota Department of Health
Phone 651-201-3572
health.hccis@state.mn.us</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J42"/>
  <sheetViews>
    <sheetView zoomScale="80" zoomScaleNormal="80" workbookViewId="0">
      <selection sqref="A1:S1"/>
    </sheetView>
  </sheetViews>
  <sheetFormatPr defaultRowHeight="12.75" x14ac:dyDescent="0.2"/>
  <cols>
    <col min="2" max="2" width="34.42578125" customWidth="1"/>
    <col min="5" max="5" width="35.42578125" customWidth="1"/>
    <col min="7" max="7" width="35.28515625" customWidth="1"/>
    <col min="9" max="9" width="35.5703125" customWidth="1"/>
  </cols>
  <sheetData>
    <row r="1" spans="1:10" x14ac:dyDescent="0.2">
      <c r="A1" s="1"/>
      <c r="B1" s="1"/>
      <c r="C1" s="1"/>
      <c r="D1" s="1"/>
      <c r="E1" s="3" t="s">
        <v>163</v>
      </c>
      <c r="F1" s="1"/>
      <c r="G1" s="1"/>
      <c r="H1" s="1"/>
      <c r="I1" s="1"/>
      <c r="J1" s="1"/>
    </row>
    <row r="2" spans="1:10" x14ac:dyDescent="0.2">
      <c r="A2" s="1"/>
      <c r="B2" s="1"/>
      <c r="C2" s="1"/>
      <c r="D2" s="1"/>
      <c r="E2" s="1"/>
      <c r="F2" s="1"/>
      <c r="G2" s="1"/>
      <c r="H2" s="1"/>
      <c r="I2" s="1"/>
      <c r="J2" s="1"/>
    </row>
    <row r="3" spans="1:10" x14ac:dyDescent="0.2">
      <c r="A3" s="1"/>
      <c r="B3" s="1"/>
      <c r="C3" s="1"/>
      <c r="D3" s="1"/>
      <c r="E3" s="1"/>
      <c r="F3" s="1"/>
      <c r="G3" s="1"/>
      <c r="H3" s="1"/>
      <c r="I3" s="1"/>
      <c r="J3" s="1"/>
    </row>
    <row r="4" spans="1:10" x14ac:dyDescent="0.2">
      <c r="A4" s="1"/>
      <c r="B4" s="1"/>
      <c r="C4" s="1"/>
      <c r="D4" s="1"/>
      <c r="E4" s="4" t="s">
        <v>499</v>
      </c>
      <c r="F4" s="5"/>
      <c r="G4" s="4" t="s">
        <v>500</v>
      </c>
      <c r="H4" s="5"/>
      <c r="I4" s="4" t="s">
        <v>501</v>
      </c>
      <c r="J4" s="5"/>
    </row>
    <row r="5" spans="1:10" x14ac:dyDescent="0.2">
      <c r="A5" s="1"/>
      <c r="B5" s="1"/>
      <c r="C5" s="1"/>
      <c r="D5" s="1"/>
      <c r="E5" s="6" t="s">
        <v>162</v>
      </c>
      <c r="F5" s="7">
        <v>54</v>
      </c>
      <c r="G5" s="6" t="s">
        <v>502</v>
      </c>
      <c r="H5" s="7">
        <v>166</v>
      </c>
      <c r="I5" s="6" t="s">
        <v>503</v>
      </c>
      <c r="J5" s="8">
        <v>183</v>
      </c>
    </row>
    <row r="6" spans="1:10" x14ac:dyDescent="0.2">
      <c r="A6" s="1"/>
      <c r="B6" s="1"/>
      <c r="C6" s="1"/>
      <c r="D6" s="1"/>
      <c r="E6" s="9" t="s">
        <v>161</v>
      </c>
      <c r="F6" s="2">
        <v>58</v>
      </c>
      <c r="G6" s="9" t="s">
        <v>504</v>
      </c>
      <c r="H6" s="2">
        <v>167</v>
      </c>
      <c r="I6" s="9" t="s">
        <v>505</v>
      </c>
      <c r="J6" s="10">
        <v>184</v>
      </c>
    </row>
    <row r="7" spans="1:10" x14ac:dyDescent="0.2">
      <c r="A7" s="1"/>
      <c r="B7" s="1"/>
      <c r="C7" s="1"/>
      <c r="D7" s="1"/>
      <c r="E7" s="9" t="s">
        <v>506</v>
      </c>
      <c r="F7" s="2">
        <v>164</v>
      </c>
      <c r="G7" s="9" t="s">
        <v>507</v>
      </c>
      <c r="H7" s="2">
        <v>168</v>
      </c>
      <c r="I7" s="9" t="s">
        <v>508</v>
      </c>
      <c r="J7" s="10">
        <v>185</v>
      </c>
    </row>
    <row r="8" spans="1:10" x14ac:dyDescent="0.2">
      <c r="A8" s="1"/>
      <c r="B8" s="1"/>
      <c r="C8" s="1"/>
      <c r="D8" s="1"/>
      <c r="E8" s="9" t="s">
        <v>509</v>
      </c>
      <c r="F8" s="2">
        <v>165</v>
      </c>
      <c r="G8" s="9" t="s">
        <v>510</v>
      </c>
      <c r="H8" s="2">
        <v>169</v>
      </c>
      <c r="I8" s="9" t="s">
        <v>511</v>
      </c>
      <c r="J8" s="10">
        <v>63</v>
      </c>
    </row>
    <row r="9" spans="1:10" x14ac:dyDescent="0.2">
      <c r="A9" s="1"/>
      <c r="B9" s="1"/>
      <c r="C9" s="1"/>
      <c r="D9" s="1"/>
      <c r="E9" s="11" t="s">
        <v>512</v>
      </c>
      <c r="F9" s="12">
        <v>120</v>
      </c>
      <c r="G9" s="9" t="s">
        <v>513</v>
      </c>
      <c r="H9" s="2">
        <v>123</v>
      </c>
      <c r="I9" s="9" t="s">
        <v>514</v>
      </c>
      <c r="J9" s="10">
        <v>64</v>
      </c>
    </row>
    <row r="10" spans="1:10" x14ac:dyDescent="0.2">
      <c r="A10" s="1"/>
      <c r="B10" s="4" t="s">
        <v>515</v>
      </c>
      <c r="C10" s="13"/>
      <c r="D10" s="1"/>
      <c r="E10" s="1"/>
      <c r="F10" s="1"/>
      <c r="G10" s="11" t="s">
        <v>516</v>
      </c>
      <c r="H10" s="12">
        <v>170</v>
      </c>
      <c r="I10" s="9" t="s">
        <v>517</v>
      </c>
      <c r="J10" s="10">
        <v>53</v>
      </c>
    </row>
    <row r="11" spans="1:10" x14ac:dyDescent="0.2">
      <c r="A11" s="1"/>
      <c r="B11" s="1" t="s">
        <v>518</v>
      </c>
      <c r="C11" s="1">
        <v>200</v>
      </c>
      <c r="D11" s="1"/>
      <c r="E11" s="1"/>
      <c r="F11" s="1"/>
      <c r="G11" s="1"/>
      <c r="H11" s="1"/>
      <c r="I11" s="9" t="s">
        <v>519</v>
      </c>
      <c r="J11" s="10">
        <v>186</v>
      </c>
    </row>
    <row r="12" spans="1:10" x14ac:dyDescent="0.2">
      <c r="A12" s="1"/>
      <c r="B12" s="1" t="s">
        <v>520</v>
      </c>
      <c r="C12" s="1">
        <v>201</v>
      </c>
      <c r="D12" s="1"/>
      <c r="E12" s="1"/>
      <c r="F12" s="1"/>
      <c r="G12" s="1"/>
      <c r="H12" s="1"/>
      <c r="I12" s="9" t="s">
        <v>180</v>
      </c>
      <c r="J12" s="10">
        <v>57</v>
      </c>
    </row>
    <row r="13" spans="1:10" x14ac:dyDescent="0.2">
      <c r="A13" s="1"/>
      <c r="B13" s="1"/>
      <c r="C13" s="1"/>
      <c r="D13" s="1"/>
      <c r="E13" s="1"/>
      <c r="F13" s="1"/>
      <c r="G13" s="1"/>
      <c r="H13" s="1"/>
      <c r="I13" s="9" t="s">
        <v>521</v>
      </c>
      <c r="J13" s="10">
        <v>187</v>
      </c>
    </row>
    <row r="14" spans="1:10" x14ac:dyDescent="0.2">
      <c r="A14" s="1"/>
      <c r="B14" s="4" t="s">
        <v>522</v>
      </c>
      <c r="C14" s="13"/>
      <c r="D14" s="1"/>
      <c r="E14" s="1"/>
      <c r="F14" s="1"/>
      <c r="G14" s="4" t="s">
        <v>523</v>
      </c>
      <c r="H14" s="14"/>
      <c r="I14" s="9" t="s">
        <v>524</v>
      </c>
      <c r="J14" s="10">
        <v>188</v>
      </c>
    </row>
    <row r="15" spans="1:10" x14ac:dyDescent="0.2">
      <c r="A15" s="1"/>
      <c r="B15" s="1" t="s">
        <v>525</v>
      </c>
      <c r="C15" s="1">
        <v>55</v>
      </c>
      <c r="D15" s="1"/>
      <c r="E15" s="1"/>
      <c r="F15" s="1"/>
      <c r="G15" s="6" t="s">
        <v>526</v>
      </c>
      <c r="H15" s="7">
        <v>171</v>
      </c>
      <c r="I15" s="9" t="s">
        <v>527</v>
      </c>
      <c r="J15" s="10">
        <v>189</v>
      </c>
    </row>
    <row r="16" spans="1:10" x14ac:dyDescent="0.2">
      <c r="A16" s="1"/>
      <c r="B16" s="1" t="s">
        <v>528</v>
      </c>
      <c r="C16" s="1">
        <v>203</v>
      </c>
      <c r="D16" s="1"/>
      <c r="E16" s="1"/>
      <c r="F16" s="1"/>
      <c r="G16" s="9" t="s">
        <v>529</v>
      </c>
      <c r="H16" s="2">
        <v>92</v>
      </c>
      <c r="I16" s="9" t="s">
        <v>530</v>
      </c>
      <c r="J16" s="10">
        <v>59</v>
      </c>
    </row>
    <row r="17" spans="1:10" x14ac:dyDescent="0.2">
      <c r="A17" s="1"/>
      <c r="B17" s="1"/>
      <c r="C17" s="1"/>
      <c r="D17" s="1"/>
      <c r="E17" s="1"/>
      <c r="F17" s="1"/>
      <c r="G17" s="9" t="s">
        <v>531</v>
      </c>
      <c r="H17" s="2">
        <v>93</v>
      </c>
      <c r="I17" s="9" t="s">
        <v>532</v>
      </c>
      <c r="J17" s="10">
        <v>60</v>
      </c>
    </row>
    <row r="18" spans="1:10" x14ac:dyDescent="0.2">
      <c r="A18" s="1"/>
      <c r="B18" s="4" t="s">
        <v>533</v>
      </c>
      <c r="C18" s="13"/>
      <c r="D18" s="1"/>
      <c r="E18" s="1"/>
      <c r="F18" s="1"/>
      <c r="G18" s="9" t="s">
        <v>534</v>
      </c>
      <c r="H18" s="2">
        <v>95</v>
      </c>
      <c r="I18" s="9" t="s">
        <v>535</v>
      </c>
      <c r="J18" s="10">
        <v>190</v>
      </c>
    </row>
    <row r="19" spans="1:10" x14ac:dyDescent="0.2">
      <c r="A19" s="1"/>
      <c r="B19" s="1" t="s">
        <v>536</v>
      </c>
      <c r="C19" s="1">
        <v>204</v>
      </c>
      <c r="D19" s="1"/>
      <c r="E19" s="1"/>
      <c r="F19" s="1"/>
      <c r="G19" s="9" t="s">
        <v>537</v>
      </c>
      <c r="H19" s="2">
        <v>94</v>
      </c>
      <c r="I19" s="9" t="s">
        <v>538</v>
      </c>
      <c r="J19" s="10">
        <v>191</v>
      </c>
    </row>
    <row r="20" spans="1:10" x14ac:dyDescent="0.2">
      <c r="A20" s="1"/>
      <c r="B20" s="1" t="s">
        <v>539</v>
      </c>
      <c r="C20" s="1">
        <v>205</v>
      </c>
      <c r="D20" s="1"/>
      <c r="E20" s="1"/>
      <c r="F20" s="1"/>
      <c r="G20" s="9" t="s">
        <v>540</v>
      </c>
      <c r="H20" s="2">
        <v>172</v>
      </c>
      <c r="I20" s="9" t="s">
        <v>176</v>
      </c>
      <c r="J20" s="10">
        <v>89</v>
      </c>
    </row>
    <row r="21" spans="1:10" x14ac:dyDescent="0.2">
      <c r="A21" s="1"/>
      <c r="B21" s="1" t="s">
        <v>541</v>
      </c>
      <c r="C21" s="1">
        <v>206</v>
      </c>
      <c r="D21" s="1"/>
      <c r="E21" s="1"/>
      <c r="F21" s="1"/>
      <c r="G21" s="9" t="s">
        <v>542</v>
      </c>
      <c r="H21" s="2">
        <v>56</v>
      </c>
      <c r="I21" s="9" t="s">
        <v>543</v>
      </c>
      <c r="J21" s="10">
        <v>192</v>
      </c>
    </row>
    <row r="22" spans="1:10" x14ac:dyDescent="0.2">
      <c r="A22" s="1"/>
      <c r="B22" s="1" t="s">
        <v>544</v>
      </c>
      <c r="C22" s="1">
        <v>207</v>
      </c>
      <c r="D22" s="1"/>
      <c r="E22" s="1"/>
      <c r="F22" s="1"/>
      <c r="G22" s="9" t="s">
        <v>545</v>
      </c>
      <c r="H22" s="2">
        <v>108</v>
      </c>
      <c r="I22" s="9" t="s">
        <v>546</v>
      </c>
      <c r="J22" s="10">
        <v>67</v>
      </c>
    </row>
    <row r="23" spans="1:10" x14ac:dyDescent="0.2">
      <c r="A23" s="1"/>
      <c r="B23" s="1"/>
      <c r="C23" s="1"/>
      <c r="D23" s="1"/>
      <c r="E23" s="1"/>
      <c r="F23" s="1"/>
      <c r="G23" s="9" t="s">
        <v>547</v>
      </c>
      <c r="H23" s="2">
        <v>97</v>
      </c>
      <c r="I23" s="9" t="s">
        <v>548</v>
      </c>
      <c r="J23" s="10">
        <v>68</v>
      </c>
    </row>
    <row r="24" spans="1:10" x14ac:dyDescent="0.2">
      <c r="A24" s="1"/>
      <c r="B24" s="1"/>
      <c r="C24" s="1"/>
      <c r="D24" s="1"/>
      <c r="E24" s="1"/>
      <c r="F24" s="1"/>
      <c r="G24" s="9" t="s">
        <v>549</v>
      </c>
      <c r="H24" s="2">
        <v>173</v>
      </c>
      <c r="I24" s="9" t="s">
        <v>550</v>
      </c>
      <c r="J24" s="10">
        <v>61</v>
      </c>
    </row>
    <row r="25" spans="1:10" x14ac:dyDescent="0.2">
      <c r="A25" s="1"/>
      <c r="B25" s="1"/>
      <c r="C25" s="1"/>
      <c r="D25" s="1"/>
      <c r="E25" s="1"/>
      <c r="F25" s="1"/>
      <c r="G25" s="9" t="s">
        <v>551</v>
      </c>
      <c r="H25" s="2">
        <v>98</v>
      </c>
      <c r="I25" s="9" t="s">
        <v>552</v>
      </c>
      <c r="J25" s="10">
        <v>62</v>
      </c>
    </row>
    <row r="26" spans="1:10" x14ac:dyDescent="0.2">
      <c r="A26" s="1"/>
      <c r="B26" s="4" t="s">
        <v>553</v>
      </c>
      <c r="C26" s="13"/>
      <c r="D26" s="1"/>
      <c r="E26" s="1"/>
      <c r="F26" s="1"/>
      <c r="G26" s="9" t="s">
        <v>554</v>
      </c>
      <c r="H26" s="2">
        <v>174</v>
      </c>
      <c r="I26" s="9" t="s">
        <v>555</v>
      </c>
      <c r="J26" s="10">
        <v>102</v>
      </c>
    </row>
    <row r="27" spans="1:10" x14ac:dyDescent="0.2">
      <c r="A27" s="1"/>
      <c r="B27" s="1" t="s">
        <v>556</v>
      </c>
      <c r="C27" s="1">
        <v>208</v>
      </c>
      <c r="D27" s="1"/>
      <c r="E27" s="1"/>
      <c r="F27" s="1"/>
      <c r="G27" s="9" t="s">
        <v>557</v>
      </c>
      <c r="H27" s="2">
        <v>100</v>
      </c>
      <c r="I27" s="9" t="s">
        <v>558</v>
      </c>
      <c r="J27" s="10">
        <v>193</v>
      </c>
    </row>
    <row r="28" spans="1:10" x14ac:dyDescent="0.2">
      <c r="A28" s="1"/>
      <c r="B28" s="1" t="s">
        <v>559</v>
      </c>
      <c r="C28" s="1">
        <v>209</v>
      </c>
      <c r="D28" s="1"/>
      <c r="E28" s="1"/>
      <c r="F28" s="1"/>
      <c r="G28" s="9" t="s">
        <v>560</v>
      </c>
      <c r="H28" s="2">
        <v>175</v>
      </c>
      <c r="I28" s="9" t="s">
        <v>561</v>
      </c>
      <c r="J28" s="10">
        <v>65</v>
      </c>
    </row>
    <row r="29" spans="1:10" x14ac:dyDescent="0.2">
      <c r="A29" s="1"/>
      <c r="B29" s="1"/>
      <c r="C29" s="1"/>
      <c r="D29" s="1"/>
      <c r="E29" s="1"/>
      <c r="F29" s="1"/>
      <c r="G29" s="9" t="s">
        <v>562</v>
      </c>
      <c r="H29" s="2">
        <v>101</v>
      </c>
      <c r="I29" s="9" t="s">
        <v>563</v>
      </c>
      <c r="J29" s="10">
        <v>66</v>
      </c>
    </row>
    <row r="30" spans="1:10" x14ac:dyDescent="0.2">
      <c r="A30" s="1"/>
      <c r="B30" s="4" t="s">
        <v>564</v>
      </c>
      <c r="C30" s="13"/>
      <c r="D30" s="1"/>
      <c r="E30" s="1"/>
      <c r="F30" s="1"/>
      <c r="G30" s="9" t="s">
        <v>565</v>
      </c>
      <c r="H30" s="2">
        <v>176</v>
      </c>
      <c r="I30" s="9" t="s">
        <v>566</v>
      </c>
      <c r="J30" s="10">
        <v>69</v>
      </c>
    </row>
    <row r="31" spans="1:10" x14ac:dyDescent="0.2">
      <c r="A31" s="1"/>
      <c r="B31" s="1" t="s">
        <v>567</v>
      </c>
      <c r="C31" s="1">
        <v>210</v>
      </c>
      <c r="D31" s="1"/>
      <c r="E31" s="1"/>
      <c r="F31" s="1"/>
      <c r="G31" s="9" t="s">
        <v>568</v>
      </c>
      <c r="H31" s="2">
        <v>105</v>
      </c>
      <c r="I31" s="11" t="s">
        <v>569</v>
      </c>
      <c r="J31" s="15">
        <v>70</v>
      </c>
    </row>
    <row r="32" spans="1:10" x14ac:dyDescent="0.2">
      <c r="A32" s="1"/>
      <c r="B32" s="1" t="s">
        <v>570</v>
      </c>
      <c r="C32" s="1">
        <v>211</v>
      </c>
      <c r="D32" s="1"/>
      <c r="E32" s="1"/>
      <c r="F32" s="1"/>
      <c r="G32" s="9" t="s">
        <v>571</v>
      </c>
      <c r="H32" s="10">
        <v>177</v>
      </c>
      <c r="I32" s="1"/>
      <c r="J32" s="1"/>
    </row>
    <row r="33" spans="1:10" x14ac:dyDescent="0.2">
      <c r="A33" s="1"/>
      <c r="B33" s="1"/>
      <c r="C33" s="1"/>
      <c r="D33" s="1"/>
      <c r="E33" s="1"/>
      <c r="F33" s="1"/>
      <c r="G33" s="9" t="s">
        <v>572</v>
      </c>
      <c r="H33" s="10">
        <v>178</v>
      </c>
      <c r="I33" s="1"/>
      <c r="J33" s="1"/>
    </row>
    <row r="34" spans="1:10" x14ac:dyDescent="0.2">
      <c r="A34" s="1"/>
      <c r="B34" s="1"/>
      <c r="C34" s="1"/>
      <c r="D34" s="1"/>
      <c r="E34" s="1"/>
      <c r="F34" s="1"/>
      <c r="G34" s="9" t="s">
        <v>573</v>
      </c>
      <c r="H34" s="10">
        <v>179</v>
      </c>
      <c r="I34" s="1"/>
      <c r="J34" s="1"/>
    </row>
    <row r="35" spans="1:10" x14ac:dyDescent="0.2">
      <c r="A35" s="1"/>
      <c r="B35" s="1"/>
      <c r="C35" s="1"/>
      <c r="D35" s="1"/>
      <c r="E35" s="1"/>
      <c r="F35" s="1"/>
      <c r="G35" s="9" t="s">
        <v>574</v>
      </c>
      <c r="H35" s="10">
        <v>180</v>
      </c>
      <c r="I35" s="1"/>
      <c r="J35" s="1"/>
    </row>
    <row r="36" spans="1:10" x14ac:dyDescent="0.2">
      <c r="A36" s="1"/>
      <c r="B36" s="1"/>
      <c r="C36" s="1"/>
      <c r="D36" s="1"/>
      <c r="E36" s="1"/>
      <c r="F36" s="1"/>
      <c r="G36" s="9" t="s">
        <v>575</v>
      </c>
      <c r="H36" s="10">
        <v>181</v>
      </c>
      <c r="I36" s="1"/>
      <c r="J36" s="1"/>
    </row>
    <row r="37" spans="1:10" x14ac:dyDescent="0.2">
      <c r="A37" s="1"/>
      <c r="B37" s="1"/>
      <c r="C37" s="1"/>
      <c r="D37" s="1"/>
      <c r="E37" s="1"/>
      <c r="F37" s="1"/>
      <c r="G37" s="9" t="s">
        <v>576</v>
      </c>
      <c r="H37" s="10">
        <v>122</v>
      </c>
      <c r="I37" s="1"/>
      <c r="J37" s="1"/>
    </row>
    <row r="38" spans="1:10" x14ac:dyDescent="0.2">
      <c r="A38" s="1"/>
      <c r="B38" s="1"/>
      <c r="C38" s="1"/>
      <c r="D38" s="1"/>
      <c r="E38" s="1"/>
      <c r="F38" s="1"/>
      <c r="G38" s="9" t="s">
        <v>577</v>
      </c>
      <c r="H38" s="10">
        <v>110</v>
      </c>
      <c r="I38" s="1"/>
      <c r="J38" s="1"/>
    </row>
    <row r="39" spans="1:10" x14ac:dyDescent="0.2">
      <c r="A39" s="1"/>
      <c r="B39" s="1"/>
      <c r="C39" s="1"/>
      <c r="D39" s="1"/>
      <c r="E39" s="1"/>
      <c r="F39" s="1"/>
      <c r="G39" s="9" t="s">
        <v>578</v>
      </c>
      <c r="H39" s="10">
        <v>103</v>
      </c>
      <c r="I39" s="1"/>
      <c r="J39" s="1"/>
    </row>
    <row r="40" spans="1:10" x14ac:dyDescent="0.2">
      <c r="A40" s="1"/>
      <c r="B40" s="1"/>
      <c r="C40" s="1"/>
      <c r="D40" s="1"/>
      <c r="E40" s="1"/>
      <c r="F40" s="1"/>
      <c r="G40" s="9" t="s">
        <v>579</v>
      </c>
      <c r="H40" s="10">
        <v>104</v>
      </c>
      <c r="I40" s="1"/>
      <c r="J40" s="1"/>
    </row>
    <row r="41" spans="1:10" x14ac:dyDescent="0.2">
      <c r="A41" s="1"/>
      <c r="B41" s="1"/>
      <c r="C41" s="1"/>
      <c r="D41" s="1"/>
      <c r="E41" s="1"/>
      <c r="F41" s="1"/>
      <c r="G41" s="11" t="s">
        <v>580</v>
      </c>
      <c r="H41" s="15">
        <v>182</v>
      </c>
      <c r="I41" s="1"/>
      <c r="J41" s="1"/>
    </row>
    <row r="42" spans="1:10" x14ac:dyDescent="0.2">
      <c r="A42" s="1"/>
      <c r="B42" s="1"/>
      <c r="C42" s="1"/>
      <c r="D42" s="1"/>
      <c r="E42" s="1"/>
      <c r="F42" s="1"/>
      <c r="G42" s="1"/>
      <c r="H42" s="1"/>
      <c r="I42" s="1"/>
      <c r="J42" s="1"/>
    </row>
  </sheetData>
  <sheetProtection sheet="1" objects="1" scenarios="1"/>
  <printOptions horizontalCentered="1"/>
  <pageMargins left="0.75" right="0.75" top="1" bottom="1" header="0.5" footer="0.5"/>
  <pageSetup scale="51" orientation="portrait" r:id="rId1"/>
  <headerFooter alignWithMargins="0">
    <oddFooter>&amp;L&amp;"Calibri,Regular"Diagnostic Imaging Facility Utilization Report
Fiscal Year 2024
&amp;C&amp;"Calibri,Regular"&amp;P of &amp;N&amp;R&amp;"Calibri,Regular"Minnesota Department of Health
Phone 651-201-3572
health.hccis@state.mn.us</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47"/>
  <sheetViews>
    <sheetView zoomScaleNormal="100" workbookViewId="0">
      <selection sqref="A1:K1"/>
    </sheetView>
  </sheetViews>
  <sheetFormatPr defaultColWidth="8.85546875" defaultRowHeight="12.75" x14ac:dyDescent="0.2"/>
  <cols>
    <col min="1" max="1" width="4.5703125" style="92" customWidth="1"/>
    <col min="2" max="2" width="8.85546875" style="91"/>
    <col min="3" max="3" width="23.42578125" style="92" customWidth="1"/>
    <col min="4" max="5" width="10.42578125" style="92" hidden="1" customWidth="1"/>
    <col min="6" max="7" width="11.7109375" style="92" customWidth="1"/>
    <col min="8" max="8" width="11.42578125" style="92" customWidth="1"/>
    <col min="9" max="9" width="13.5703125" style="92" customWidth="1"/>
    <col min="10" max="16384" width="8.85546875" style="92"/>
  </cols>
  <sheetData>
    <row r="1" spans="1:15" ht="26.45" customHeight="1" thickBot="1" x14ac:dyDescent="0.25">
      <c r="A1" s="91" t="s">
        <v>22</v>
      </c>
      <c r="B1" s="612" t="str">
        <f>CONCATENATE("HCCIS ID: ",'Demog Contact'!D5)</f>
        <v xml:space="preserve">HCCIS ID: </v>
      </c>
      <c r="C1" s="612"/>
      <c r="D1" s="92" t="s">
        <v>299</v>
      </c>
      <c r="E1" s="92" t="s">
        <v>298</v>
      </c>
      <c r="F1" s="93" t="s">
        <v>83</v>
      </c>
      <c r="G1" s="546" t="s">
        <v>475</v>
      </c>
      <c r="H1" s="546" t="s">
        <v>476</v>
      </c>
      <c r="I1" s="559" t="s">
        <v>767</v>
      </c>
      <c r="L1" s="94" t="s">
        <v>163</v>
      </c>
    </row>
    <row r="2" spans="1:15" ht="13.5" thickBot="1" x14ac:dyDescent="0.25">
      <c r="B2" s="613" t="s">
        <v>440</v>
      </c>
      <c r="C2" s="614"/>
      <c r="D2" s="614"/>
      <c r="E2" s="614"/>
      <c r="F2" s="614"/>
      <c r="G2" s="614"/>
      <c r="H2" s="614"/>
      <c r="I2" s="615"/>
      <c r="M2" s="430" t="s">
        <v>769</v>
      </c>
      <c r="N2" s="430"/>
      <c r="O2" s="430"/>
    </row>
    <row r="3" spans="1:15" x14ac:dyDescent="0.2">
      <c r="A3" s="92">
        <v>108</v>
      </c>
      <c r="B3" s="95" t="s">
        <v>443</v>
      </c>
      <c r="C3" s="96" t="s">
        <v>380</v>
      </c>
      <c r="D3" s="97" t="e">
        <f>AccredExpl!C7</f>
        <v>#N/A</v>
      </c>
      <c r="E3" s="97" t="e">
        <f>'Accred (2)'!C7</f>
        <v>#N/A</v>
      </c>
      <c r="F3" s="97" t="e">
        <f>IF(EXACT(D3,E3),"",D3)</f>
        <v>#N/A</v>
      </c>
      <c r="G3" s="98">
        <v>125</v>
      </c>
      <c r="H3" s="97">
        <v>128</v>
      </c>
      <c r="I3" s="558">
        <v>147</v>
      </c>
      <c r="M3" s="568" t="s">
        <v>272</v>
      </c>
      <c r="N3" s="568">
        <v>114.44</v>
      </c>
    </row>
    <row r="4" spans="1:15" x14ac:dyDescent="0.2">
      <c r="A4" s="92">
        <v>109</v>
      </c>
      <c r="B4" s="95" t="s">
        <v>443</v>
      </c>
      <c r="C4" s="96" t="s">
        <v>441</v>
      </c>
      <c r="D4" s="102" t="e">
        <f>AccredExpl!C8</f>
        <v>#N/A</v>
      </c>
      <c r="E4" s="102" t="e">
        <f>'Accred (2)'!C8</f>
        <v>#N/A</v>
      </c>
      <c r="F4" s="100" t="e">
        <f>IF(EXACT(D4,E4),"",D4)</f>
        <v>#N/A</v>
      </c>
      <c r="G4" s="98"/>
      <c r="H4" s="97"/>
      <c r="I4" s="99"/>
      <c r="M4" s="568" t="s">
        <v>269</v>
      </c>
      <c r="N4" s="568">
        <v>114.41</v>
      </c>
    </row>
    <row r="5" spans="1:15" x14ac:dyDescent="0.2">
      <c r="A5" s="92">
        <v>110</v>
      </c>
      <c r="B5" s="95" t="s">
        <v>443</v>
      </c>
      <c r="C5" s="96" t="s">
        <v>381</v>
      </c>
      <c r="D5" s="97" t="e">
        <f>AccredExpl!D7</f>
        <v>#N/A</v>
      </c>
      <c r="E5" s="97" t="e">
        <f>'Accred (2)'!D7</f>
        <v>#N/A</v>
      </c>
      <c r="F5" s="98" t="e">
        <f t="shared" ref="F5:F47" si="0">IF(EXACT(D5,E5),"",D5)</f>
        <v>#N/A</v>
      </c>
      <c r="G5" s="98">
        <v>125</v>
      </c>
      <c r="H5" s="97">
        <v>131</v>
      </c>
      <c r="I5" s="99">
        <v>150</v>
      </c>
      <c r="M5" s="568" t="s">
        <v>270</v>
      </c>
      <c r="N5" s="568">
        <v>114.42</v>
      </c>
    </row>
    <row r="6" spans="1:15" x14ac:dyDescent="0.2">
      <c r="A6" s="92">
        <v>111</v>
      </c>
      <c r="B6" s="95" t="s">
        <v>443</v>
      </c>
      <c r="C6" s="96" t="s">
        <v>442</v>
      </c>
      <c r="D6" s="102" t="e">
        <f>AccredExpl!D8</f>
        <v>#N/A</v>
      </c>
      <c r="E6" s="102" t="e">
        <f>'Accred (2)'!D8</f>
        <v>#N/A</v>
      </c>
      <c r="F6" s="100" t="e">
        <f t="shared" si="0"/>
        <v>#N/A</v>
      </c>
      <c r="G6" s="98"/>
      <c r="H6" s="97"/>
      <c r="I6" s="99"/>
      <c r="M6" s="568" t="s">
        <v>480</v>
      </c>
      <c r="N6" s="568">
        <v>114.43</v>
      </c>
    </row>
    <row r="7" spans="1:15" x14ac:dyDescent="0.2">
      <c r="A7" s="92">
        <v>112</v>
      </c>
      <c r="B7" s="95" t="s">
        <v>443</v>
      </c>
      <c r="C7" s="96" t="s">
        <v>378</v>
      </c>
      <c r="D7" s="97" t="e">
        <f>AccredExpl!E7</f>
        <v>#N/A</v>
      </c>
      <c r="E7" s="97" t="e">
        <f>'Accred (2)'!E7</f>
        <v>#N/A</v>
      </c>
      <c r="F7" s="98" t="e">
        <f t="shared" si="0"/>
        <v>#N/A</v>
      </c>
      <c r="G7" s="98">
        <v>125</v>
      </c>
      <c r="H7" s="97">
        <v>129</v>
      </c>
      <c r="I7" s="99">
        <v>148</v>
      </c>
      <c r="M7" s="568" t="s">
        <v>274</v>
      </c>
      <c r="N7" s="568">
        <v>114.46</v>
      </c>
    </row>
    <row r="8" spans="1:15" x14ac:dyDescent="0.2">
      <c r="A8" s="92">
        <v>113</v>
      </c>
      <c r="B8" s="95" t="s">
        <v>443</v>
      </c>
      <c r="C8" s="96" t="s">
        <v>444</v>
      </c>
      <c r="D8" s="102" t="e">
        <f>AccredExpl!E8</f>
        <v>#N/A</v>
      </c>
      <c r="E8" s="102" t="e">
        <f>'Accred (2)'!E8</f>
        <v>#N/A</v>
      </c>
      <c r="F8" s="100" t="e">
        <f t="shared" si="0"/>
        <v>#N/A</v>
      </c>
      <c r="G8" s="101"/>
      <c r="H8" s="97"/>
      <c r="I8" s="99"/>
      <c r="M8" s="568" t="s">
        <v>481</v>
      </c>
      <c r="N8" s="568">
        <v>114.45</v>
      </c>
    </row>
    <row r="9" spans="1:15" x14ac:dyDescent="0.2">
      <c r="A9" s="92">
        <v>114</v>
      </c>
      <c r="B9" s="95" t="s">
        <v>443</v>
      </c>
      <c r="C9" s="96" t="s">
        <v>382</v>
      </c>
      <c r="D9" s="97" t="e">
        <f>AccredExpl!F7</f>
        <v>#N/A</v>
      </c>
      <c r="E9" s="97" t="e">
        <f>'Accred (2)'!F7</f>
        <v>#N/A</v>
      </c>
      <c r="F9" s="98" t="e">
        <f t="shared" si="0"/>
        <v>#N/A</v>
      </c>
      <c r="G9" s="98">
        <v>125</v>
      </c>
      <c r="H9" s="97">
        <v>130</v>
      </c>
      <c r="I9" s="99">
        <v>149</v>
      </c>
    </row>
    <row r="10" spans="1:15" x14ac:dyDescent="0.2">
      <c r="A10" s="92">
        <v>115</v>
      </c>
      <c r="B10" s="95" t="s">
        <v>443</v>
      </c>
      <c r="C10" s="96" t="s">
        <v>445</v>
      </c>
      <c r="D10" s="102" t="e">
        <f>AccredExpl!F8</f>
        <v>#N/A</v>
      </c>
      <c r="E10" s="102" t="e">
        <f>'Accred (2)'!F8</f>
        <v>#N/A</v>
      </c>
      <c r="F10" s="100" t="e">
        <f t="shared" si="0"/>
        <v>#N/A</v>
      </c>
      <c r="G10" s="101"/>
      <c r="H10" s="97"/>
      <c r="I10" s="99"/>
    </row>
    <row r="11" spans="1:15" x14ac:dyDescent="0.2">
      <c r="B11" s="95"/>
      <c r="C11" s="96"/>
      <c r="D11" s="97"/>
      <c r="E11" s="97"/>
      <c r="F11" s="98"/>
      <c r="G11" s="98"/>
      <c r="H11" s="97"/>
      <c r="I11" s="99"/>
    </row>
    <row r="12" spans="1:15" x14ac:dyDescent="0.2">
      <c r="A12" s="92">
        <v>116</v>
      </c>
      <c r="B12" s="95" t="s">
        <v>446</v>
      </c>
      <c r="C12" s="96" t="s">
        <v>456</v>
      </c>
      <c r="D12" s="97" t="e">
        <f>AccredExpl!C10</f>
        <v>#N/A</v>
      </c>
      <c r="E12" s="97" t="e">
        <f>'Accred (2)'!C10</f>
        <v>#N/A</v>
      </c>
      <c r="F12" s="98" t="e">
        <f t="shared" si="0"/>
        <v>#N/A</v>
      </c>
      <c r="G12" s="98">
        <v>126</v>
      </c>
      <c r="H12" s="97">
        <v>132</v>
      </c>
      <c r="I12" s="99">
        <v>151</v>
      </c>
    </row>
    <row r="13" spans="1:15" x14ac:dyDescent="0.2">
      <c r="A13" s="92">
        <v>117</v>
      </c>
      <c r="B13" s="95" t="s">
        <v>446</v>
      </c>
      <c r="C13" s="96" t="s">
        <v>457</v>
      </c>
      <c r="D13" s="102" t="e">
        <f>AccredExpl!C11</f>
        <v>#N/A</v>
      </c>
      <c r="E13" s="102" t="e">
        <f>'Accred (2)'!C11</f>
        <v>#N/A</v>
      </c>
      <c r="F13" s="100" t="e">
        <f t="shared" si="0"/>
        <v>#N/A</v>
      </c>
      <c r="G13" s="101"/>
      <c r="H13" s="97"/>
      <c r="I13" s="99"/>
    </row>
    <row r="14" spans="1:15" x14ac:dyDescent="0.2">
      <c r="A14" s="92">
        <v>118</v>
      </c>
      <c r="B14" s="95" t="s">
        <v>446</v>
      </c>
      <c r="C14" s="96" t="s">
        <v>458</v>
      </c>
      <c r="D14" s="97" t="e">
        <f>AccredExpl!D10</f>
        <v>#N/A</v>
      </c>
      <c r="E14" s="97" t="e">
        <f>'Accred (2)'!D10</f>
        <v>#N/A</v>
      </c>
      <c r="F14" s="98" t="e">
        <f t="shared" si="0"/>
        <v>#N/A</v>
      </c>
      <c r="G14" s="101">
        <v>126</v>
      </c>
      <c r="H14" s="97">
        <v>133</v>
      </c>
      <c r="I14" s="99">
        <v>152</v>
      </c>
    </row>
    <row r="15" spans="1:15" x14ac:dyDescent="0.2">
      <c r="A15" s="92">
        <v>119</v>
      </c>
      <c r="B15" s="95" t="s">
        <v>446</v>
      </c>
      <c r="C15" s="96" t="s">
        <v>459</v>
      </c>
      <c r="D15" s="102" t="e">
        <f>AccredExpl!D11</f>
        <v>#N/A</v>
      </c>
      <c r="E15" s="102" t="e">
        <f>'Accred (2)'!D11</f>
        <v>#N/A</v>
      </c>
      <c r="F15" s="100" t="e">
        <f t="shared" si="0"/>
        <v>#N/A</v>
      </c>
      <c r="G15" s="101"/>
      <c r="H15" s="97"/>
      <c r="I15" s="99"/>
    </row>
    <row r="16" spans="1:15" x14ac:dyDescent="0.2">
      <c r="A16" s="92">
        <v>120</v>
      </c>
      <c r="B16" s="95" t="s">
        <v>446</v>
      </c>
      <c r="C16" s="96" t="s">
        <v>460</v>
      </c>
      <c r="D16" s="97" t="e">
        <f>AccredExpl!E10</f>
        <v>#N/A</v>
      </c>
      <c r="E16" s="97" t="e">
        <f>'Accred (2)'!E10</f>
        <v>#N/A</v>
      </c>
      <c r="F16" s="98" t="e">
        <f t="shared" si="0"/>
        <v>#N/A</v>
      </c>
      <c r="G16" s="101">
        <v>126</v>
      </c>
      <c r="H16" s="97">
        <v>134</v>
      </c>
      <c r="I16" s="99">
        <v>153</v>
      </c>
    </row>
    <row r="17" spans="1:9" x14ac:dyDescent="0.2">
      <c r="A17" s="92">
        <v>121</v>
      </c>
      <c r="B17" s="95" t="s">
        <v>446</v>
      </c>
      <c r="C17" s="96" t="s">
        <v>461</v>
      </c>
      <c r="D17" s="102" t="e">
        <f>AccredExpl!E11</f>
        <v>#N/A</v>
      </c>
      <c r="E17" s="102" t="e">
        <f>'Accred (2)'!E11</f>
        <v>#N/A</v>
      </c>
      <c r="F17" s="100" t="e">
        <f t="shared" si="0"/>
        <v>#N/A</v>
      </c>
      <c r="G17" s="101"/>
      <c r="H17" s="97"/>
      <c r="I17" s="99"/>
    </row>
    <row r="18" spans="1:9" x14ac:dyDescent="0.2">
      <c r="A18" s="435" t="s">
        <v>714</v>
      </c>
      <c r="B18" s="95" t="s">
        <v>446</v>
      </c>
      <c r="C18" s="96" t="s">
        <v>497</v>
      </c>
      <c r="D18" s="97" t="str">
        <f>AccredExpl!F10</f>
        <v>blank</v>
      </c>
      <c r="E18" s="97">
        <f>'Accred (2)'!F10</f>
        <v>0</v>
      </c>
      <c r="F18" s="98" t="str">
        <f t="shared" si="0"/>
        <v>blank</v>
      </c>
      <c r="G18" s="101">
        <v>126</v>
      </c>
      <c r="H18" s="97">
        <v>146</v>
      </c>
      <c r="I18" s="99">
        <v>163</v>
      </c>
    </row>
    <row r="19" spans="1:9" x14ac:dyDescent="0.2">
      <c r="A19" s="435" t="s">
        <v>714</v>
      </c>
      <c r="B19" s="95" t="s">
        <v>446</v>
      </c>
      <c r="C19" s="96" t="s">
        <v>498</v>
      </c>
      <c r="D19" s="102" t="str">
        <f>AccredExpl!F11</f>
        <v>blank</v>
      </c>
      <c r="E19" s="102">
        <f>'Accred (2)'!F11</f>
        <v>0</v>
      </c>
      <c r="F19" s="102" t="str">
        <f t="shared" si="0"/>
        <v>blank</v>
      </c>
      <c r="G19" s="101"/>
      <c r="H19" s="97"/>
      <c r="I19" s="99"/>
    </row>
    <row r="20" spans="1:9" x14ac:dyDescent="0.2">
      <c r="B20" s="95"/>
      <c r="C20" s="96"/>
      <c r="D20" s="97"/>
      <c r="E20" s="97"/>
      <c r="F20" s="98"/>
      <c r="G20" s="98"/>
      <c r="H20" s="97"/>
      <c r="I20" s="99"/>
    </row>
    <row r="21" spans="1:9" x14ac:dyDescent="0.2">
      <c r="A21" s="92">
        <v>140</v>
      </c>
      <c r="B21" s="95" t="s">
        <v>705</v>
      </c>
      <c r="C21" s="96" t="s">
        <v>706</v>
      </c>
      <c r="D21" s="97" t="e">
        <f>AccredExpl!C13</f>
        <v>#N/A</v>
      </c>
      <c r="E21" s="97" t="e">
        <f>'Accred (2)'!C13</f>
        <v>#N/A</v>
      </c>
      <c r="F21" s="97" t="e">
        <f>IF(EXACT(D21,E21),"",D21)</f>
        <v>#N/A</v>
      </c>
      <c r="G21" s="98">
        <v>223</v>
      </c>
      <c r="H21" s="97">
        <v>215</v>
      </c>
      <c r="I21" s="99">
        <v>219</v>
      </c>
    </row>
    <row r="22" spans="1:9" x14ac:dyDescent="0.2">
      <c r="A22" s="92">
        <v>141</v>
      </c>
      <c r="B22" s="95" t="s">
        <v>705</v>
      </c>
      <c r="C22" s="96" t="s">
        <v>707</v>
      </c>
      <c r="D22" s="102" t="e">
        <f>AccredExpl!C14</f>
        <v>#N/A</v>
      </c>
      <c r="E22" s="102" t="e">
        <f>'Accred (2)'!C14</f>
        <v>#N/A</v>
      </c>
      <c r="F22" s="100" t="e">
        <f>IF(EXACT(D22,E22),"",D22)</f>
        <v>#N/A</v>
      </c>
      <c r="G22" s="98"/>
      <c r="H22" s="97"/>
      <c r="I22" s="99"/>
    </row>
    <row r="23" spans="1:9" x14ac:dyDescent="0.2">
      <c r="A23" s="92">
        <v>142</v>
      </c>
      <c r="B23" s="95" t="s">
        <v>705</v>
      </c>
      <c r="C23" s="96" t="s">
        <v>708</v>
      </c>
      <c r="D23" s="97" t="e">
        <f>AccredExpl!D13</f>
        <v>#N/A</v>
      </c>
      <c r="E23" s="97" t="e">
        <f>'Accred (2)'!D13</f>
        <v>#N/A</v>
      </c>
      <c r="F23" s="98" t="e">
        <f t="shared" ref="F23:F28" si="1">IF(EXACT(D23,E23),"",D23)</f>
        <v>#N/A</v>
      </c>
      <c r="G23" s="98">
        <v>223</v>
      </c>
      <c r="H23" s="97">
        <v>216</v>
      </c>
      <c r="I23" s="99">
        <v>220</v>
      </c>
    </row>
    <row r="24" spans="1:9" x14ac:dyDescent="0.2">
      <c r="A24" s="92">
        <v>143</v>
      </c>
      <c r="B24" s="95" t="s">
        <v>705</v>
      </c>
      <c r="C24" s="96" t="s">
        <v>709</v>
      </c>
      <c r="D24" s="102" t="e">
        <f>AccredExpl!D14</f>
        <v>#N/A</v>
      </c>
      <c r="E24" s="102" t="e">
        <f>'Accred (2)'!D14</f>
        <v>#N/A</v>
      </c>
      <c r="F24" s="100" t="e">
        <f t="shared" si="1"/>
        <v>#N/A</v>
      </c>
      <c r="G24" s="98"/>
      <c r="H24" s="97"/>
      <c r="I24" s="99"/>
    </row>
    <row r="25" spans="1:9" x14ac:dyDescent="0.2">
      <c r="A25" s="92">
        <v>144</v>
      </c>
      <c r="B25" s="95" t="s">
        <v>705</v>
      </c>
      <c r="C25" s="96" t="s">
        <v>710</v>
      </c>
      <c r="D25" s="97" t="e">
        <f>AccredExpl!E13</f>
        <v>#N/A</v>
      </c>
      <c r="E25" s="97" t="e">
        <f>'Accred (2)'!E13</f>
        <v>#N/A</v>
      </c>
      <c r="F25" s="98" t="e">
        <f t="shared" si="1"/>
        <v>#N/A</v>
      </c>
      <c r="G25" s="98">
        <v>223</v>
      </c>
      <c r="H25" s="97">
        <v>217</v>
      </c>
      <c r="I25" s="99">
        <v>221</v>
      </c>
    </row>
    <row r="26" spans="1:9" x14ac:dyDescent="0.2">
      <c r="A26" s="92">
        <v>145</v>
      </c>
      <c r="B26" s="95" t="s">
        <v>705</v>
      </c>
      <c r="C26" s="96" t="s">
        <v>711</v>
      </c>
      <c r="D26" s="102" t="e">
        <f>AccredExpl!E14</f>
        <v>#N/A</v>
      </c>
      <c r="E26" s="102" t="e">
        <f>'Accred (2)'!E14</f>
        <v>#N/A</v>
      </c>
      <c r="F26" s="100" t="e">
        <f t="shared" si="1"/>
        <v>#N/A</v>
      </c>
      <c r="G26" s="98"/>
      <c r="H26" s="97"/>
      <c r="I26" s="99"/>
    </row>
    <row r="27" spans="1:9" x14ac:dyDescent="0.2">
      <c r="A27" s="92">
        <v>146</v>
      </c>
      <c r="B27" s="95" t="s">
        <v>705</v>
      </c>
      <c r="C27" s="96" t="s">
        <v>712</v>
      </c>
      <c r="D27" s="97" t="e">
        <f>AccredExpl!F13</f>
        <v>#N/A</v>
      </c>
      <c r="E27" s="97" t="e">
        <f>'Accred (2)'!F13</f>
        <v>#N/A</v>
      </c>
      <c r="F27" s="98" t="e">
        <f t="shared" si="1"/>
        <v>#N/A</v>
      </c>
      <c r="G27" s="98">
        <v>223</v>
      </c>
      <c r="H27" s="97">
        <v>218</v>
      </c>
      <c r="I27" s="99">
        <v>222</v>
      </c>
    </row>
    <row r="28" spans="1:9" x14ac:dyDescent="0.2">
      <c r="A28" s="92">
        <v>147</v>
      </c>
      <c r="B28" s="95" t="s">
        <v>705</v>
      </c>
      <c r="C28" s="96" t="s">
        <v>713</v>
      </c>
      <c r="D28" s="102" t="e">
        <f>AccredExpl!F14</f>
        <v>#N/A</v>
      </c>
      <c r="E28" s="102" t="e">
        <f>'Accred (2)'!F14</f>
        <v>#N/A</v>
      </c>
      <c r="F28" s="100" t="e">
        <f t="shared" si="1"/>
        <v>#N/A</v>
      </c>
      <c r="G28" s="98"/>
      <c r="H28" s="97"/>
      <c r="I28" s="99"/>
    </row>
    <row r="29" spans="1:9" x14ac:dyDescent="0.2">
      <c r="B29" s="95"/>
      <c r="C29" s="96"/>
      <c r="D29" s="97"/>
      <c r="E29" s="97"/>
      <c r="F29" s="98"/>
      <c r="G29" s="98"/>
      <c r="H29" s="97"/>
      <c r="I29" s="99"/>
    </row>
    <row r="30" spans="1:9" x14ac:dyDescent="0.2">
      <c r="A30" s="92">
        <v>122</v>
      </c>
      <c r="B30" s="95" t="s">
        <v>462</v>
      </c>
      <c r="C30" s="96" t="s">
        <v>384</v>
      </c>
      <c r="D30" s="97" t="e">
        <f>AccredExpl!C16</f>
        <v>#N/A</v>
      </c>
      <c r="E30" s="97" t="e">
        <f>'Accred (2)'!C16</f>
        <v>#N/A</v>
      </c>
      <c r="F30" s="98" t="e">
        <f t="shared" si="0"/>
        <v>#N/A</v>
      </c>
      <c r="G30" s="98">
        <v>127</v>
      </c>
      <c r="H30" s="97">
        <v>140</v>
      </c>
      <c r="I30" s="99">
        <v>159</v>
      </c>
    </row>
    <row r="31" spans="1:9" x14ac:dyDescent="0.2">
      <c r="A31" s="92">
        <v>123</v>
      </c>
      <c r="B31" s="95" t="s">
        <v>462</v>
      </c>
      <c r="C31" s="96" t="s">
        <v>463</v>
      </c>
      <c r="D31" s="102" t="e">
        <f>AccredExpl!C17</f>
        <v>#N/A</v>
      </c>
      <c r="E31" s="102" t="e">
        <f>'Accred (2)'!C17</f>
        <v>#N/A</v>
      </c>
      <c r="F31" s="100" t="e">
        <f t="shared" si="0"/>
        <v>#N/A</v>
      </c>
      <c r="G31" s="101"/>
      <c r="H31" s="97"/>
      <c r="I31" s="99"/>
    </row>
    <row r="32" spans="1:9" x14ac:dyDescent="0.2">
      <c r="A32" s="92">
        <v>124</v>
      </c>
      <c r="B32" s="95" t="s">
        <v>462</v>
      </c>
      <c r="C32" s="96" t="s">
        <v>269</v>
      </c>
      <c r="D32" s="97" t="e">
        <f>AccredExpl!D16</f>
        <v>#N/A</v>
      </c>
      <c r="E32" s="97" t="e">
        <f>'Accred (2)'!D16</f>
        <v>#N/A</v>
      </c>
      <c r="F32" s="98" t="e">
        <f t="shared" si="0"/>
        <v>#N/A</v>
      </c>
      <c r="G32" s="101">
        <v>127</v>
      </c>
      <c r="H32" s="97">
        <v>141</v>
      </c>
      <c r="I32" s="99">
        <v>160</v>
      </c>
    </row>
    <row r="33" spans="1:9" x14ac:dyDescent="0.2">
      <c r="A33" s="92">
        <v>125</v>
      </c>
      <c r="B33" s="95" t="s">
        <v>462</v>
      </c>
      <c r="C33" s="96" t="s">
        <v>464</v>
      </c>
      <c r="D33" s="444" t="e">
        <f>AccredExpl!D17</f>
        <v>#N/A</v>
      </c>
      <c r="E33" s="444" t="e">
        <f>'Accred (2)'!D17</f>
        <v>#N/A</v>
      </c>
      <c r="F33" s="100" t="e">
        <f t="shared" si="0"/>
        <v>#N/A</v>
      </c>
      <c r="G33" s="101"/>
      <c r="H33" s="97"/>
      <c r="I33" s="99"/>
    </row>
    <row r="34" spans="1:9" x14ac:dyDescent="0.2">
      <c r="A34" s="92">
        <v>126</v>
      </c>
      <c r="B34" s="95" t="s">
        <v>462</v>
      </c>
      <c r="C34" s="96" t="s">
        <v>270</v>
      </c>
      <c r="D34" s="97" t="e">
        <f>AccredExpl!E16</f>
        <v>#N/A</v>
      </c>
      <c r="E34" s="97" t="e">
        <f>'Accred (2)'!E16</f>
        <v>#N/A</v>
      </c>
      <c r="F34" s="98" t="e">
        <f t="shared" si="0"/>
        <v>#N/A</v>
      </c>
      <c r="G34" s="98">
        <v>127</v>
      </c>
      <c r="H34" s="97">
        <v>143</v>
      </c>
      <c r="I34" s="99">
        <v>162</v>
      </c>
    </row>
    <row r="35" spans="1:9" x14ac:dyDescent="0.2">
      <c r="A35" s="92">
        <v>127</v>
      </c>
      <c r="B35" s="95" t="s">
        <v>462</v>
      </c>
      <c r="C35" s="96" t="s">
        <v>465</v>
      </c>
      <c r="D35" s="102" t="e">
        <f>AccredExpl!E17</f>
        <v>#N/A</v>
      </c>
      <c r="E35" s="102" t="e">
        <f>'Accred (2)'!E17</f>
        <v>#N/A</v>
      </c>
      <c r="F35" s="100" t="e">
        <f t="shared" si="0"/>
        <v>#N/A</v>
      </c>
      <c r="G35" s="98"/>
      <c r="H35" s="97"/>
      <c r="I35" s="99"/>
    </row>
    <row r="36" spans="1:9" x14ac:dyDescent="0.2">
      <c r="A36" s="92">
        <v>128</v>
      </c>
      <c r="B36" s="95" t="s">
        <v>462</v>
      </c>
      <c r="C36" s="96" t="s">
        <v>272</v>
      </c>
      <c r="D36" s="97" t="e">
        <f>AccredExpl!F16</f>
        <v>#N/A</v>
      </c>
      <c r="E36" s="97" t="e">
        <f>'Accred (2)'!F16</f>
        <v>#N/A</v>
      </c>
      <c r="F36" s="98" t="e">
        <f t="shared" si="0"/>
        <v>#N/A</v>
      </c>
      <c r="G36" s="98">
        <v>127</v>
      </c>
      <c r="H36" s="97">
        <v>135</v>
      </c>
      <c r="I36" s="99">
        <v>154</v>
      </c>
    </row>
    <row r="37" spans="1:9" x14ac:dyDescent="0.2">
      <c r="A37" s="92">
        <v>129</v>
      </c>
      <c r="B37" s="95" t="s">
        <v>462</v>
      </c>
      <c r="C37" s="96" t="s">
        <v>466</v>
      </c>
      <c r="D37" s="102" t="e">
        <f>AccredExpl!F17</f>
        <v>#N/A</v>
      </c>
      <c r="E37" s="102" t="e">
        <f>'Accred (2)'!F17</f>
        <v>#N/A</v>
      </c>
      <c r="F37" s="100" t="e">
        <f t="shared" si="0"/>
        <v>#N/A</v>
      </c>
      <c r="G37" s="98"/>
      <c r="H37" s="97"/>
      <c r="I37" s="99"/>
    </row>
    <row r="38" spans="1:9" x14ac:dyDescent="0.2">
      <c r="A38" s="92">
        <v>130</v>
      </c>
      <c r="B38" s="95" t="s">
        <v>462</v>
      </c>
      <c r="C38" s="96" t="s">
        <v>383</v>
      </c>
      <c r="D38" s="97" t="e">
        <f>AccredExpl!G16</f>
        <v>#N/A</v>
      </c>
      <c r="E38" s="97" t="e">
        <f>'Accred (2)'!G16</f>
        <v>#N/A</v>
      </c>
      <c r="F38" s="98" t="e">
        <f t="shared" si="0"/>
        <v>#N/A</v>
      </c>
      <c r="G38" s="98">
        <v>127</v>
      </c>
      <c r="H38" s="97">
        <v>136</v>
      </c>
      <c r="I38" s="99">
        <v>155</v>
      </c>
    </row>
    <row r="39" spans="1:9" x14ac:dyDescent="0.2">
      <c r="A39" s="92">
        <v>131</v>
      </c>
      <c r="B39" s="95" t="s">
        <v>462</v>
      </c>
      <c r="C39" s="96" t="s">
        <v>467</v>
      </c>
      <c r="D39" s="102" t="e">
        <f>AccredExpl!G17</f>
        <v>#N/A</v>
      </c>
      <c r="E39" s="102" t="e">
        <f>'Accred (2)'!G17</f>
        <v>#N/A</v>
      </c>
      <c r="F39" s="100" t="e">
        <f t="shared" si="0"/>
        <v>#N/A</v>
      </c>
      <c r="G39" s="98"/>
      <c r="H39" s="97"/>
      <c r="I39" s="99"/>
    </row>
    <row r="40" spans="1:9" x14ac:dyDescent="0.2">
      <c r="A40" s="92">
        <v>132</v>
      </c>
      <c r="B40" s="95" t="s">
        <v>462</v>
      </c>
      <c r="C40" s="96" t="s">
        <v>468</v>
      </c>
      <c r="D40" s="97" t="e">
        <f>AccredExpl!H16</f>
        <v>#N/A</v>
      </c>
      <c r="E40" s="97" t="e">
        <f>'Accred (2)'!H16</f>
        <v>#N/A</v>
      </c>
      <c r="F40" s="98" t="e">
        <f t="shared" si="0"/>
        <v>#N/A</v>
      </c>
      <c r="G40" s="98">
        <v>127</v>
      </c>
      <c r="H40" s="97">
        <v>137</v>
      </c>
      <c r="I40" s="99">
        <v>156</v>
      </c>
    </row>
    <row r="41" spans="1:9" x14ac:dyDescent="0.2">
      <c r="A41" s="92">
        <v>133</v>
      </c>
      <c r="B41" s="95" t="s">
        <v>462</v>
      </c>
      <c r="C41" s="96" t="s">
        <v>469</v>
      </c>
      <c r="D41" s="102" t="e">
        <f>AccredExpl!H17</f>
        <v>#N/A</v>
      </c>
      <c r="E41" s="102" t="e">
        <f>'Accred (2)'!H17</f>
        <v>#N/A</v>
      </c>
      <c r="F41" s="100" t="e">
        <f t="shared" si="0"/>
        <v>#N/A</v>
      </c>
      <c r="G41" s="98"/>
      <c r="H41" s="97"/>
      <c r="I41" s="99"/>
    </row>
    <row r="42" spans="1:9" x14ac:dyDescent="0.2">
      <c r="A42" s="92">
        <v>134</v>
      </c>
      <c r="B42" s="95" t="s">
        <v>462</v>
      </c>
      <c r="C42" s="96" t="s">
        <v>715</v>
      </c>
      <c r="D42" s="97" t="e">
        <f>AccredExpl!I16</f>
        <v>#N/A</v>
      </c>
      <c r="E42" s="97" t="e">
        <f>'Accred (2)'!I16</f>
        <v>#N/A</v>
      </c>
      <c r="F42" s="98" t="e">
        <f t="shared" si="0"/>
        <v>#N/A</v>
      </c>
      <c r="G42" s="98">
        <v>127</v>
      </c>
      <c r="H42" s="97">
        <v>142</v>
      </c>
      <c r="I42" s="99">
        <v>161</v>
      </c>
    </row>
    <row r="43" spans="1:9" x14ac:dyDescent="0.2">
      <c r="A43" s="92">
        <v>135</v>
      </c>
      <c r="B43" s="95" t="s">
        <v>462</v>
      </c>
      <c r="C43" s="96" t="s">
        <v>470</v>
      </c>
      <c r="D43" s="102" t="e">
        <f>AccredExpl!I17</f>
        <v>#N/A</v>
      </c>
      <c r="E43" s="102" t="e">
        <f>'Accred (2)'!I17</f>
        <v>#N/A</v>
      </c>
      <c r="F43" s="100" t="e">
        <f t="shared" si="0"/>
        <v>#N/A</v>
      </c>
      <c r="G43" s="98"/>
      <c r="H43" s="97"/>
      <c r="I43" s="99"/>
    </row>
    <row r="44" spans="1:9" x14ac:dyDescent="0.2">
      <c r="A44" s="92">
        <v>136</v>
      </c>
      <c r="B44" s="95" t="s">
        <v>462</v>
      </c>
      <c r="C44" s="96" t="s">
        <v>471</v>
      </c>
      <c r="D44" s="97" t="e">
        <f>AccredExpl!J16</f>
        <v>#N/A</v>
      </c>
      <c r="E44" s="97" t="e">
        <f>'Accred (2)'!J16</f>
        <v>#N/A</v>
      </c>
      <c r="F44" s="98" t="e">
        <f t="shared" si="0"/>
        <v>#N/A</v>
      </c>
      <c r="G44" s="98">
        <v>127</v>
      </c>
      <c r="H44" s="97">
        <v>138</v>
      </c>
      <c r="I44" s="99">
        <v>157</v>
      </c>
    </row>
    <row r="45" spans="1:9" x14ac:dyDescent="0.2">
      <c r="A45" s="92">
        <v>137</v>
      </c>
      <c r="B45" s="95" t="s">
        <v>462</v>
      </c>
      <c r="C45" s="96" t="s">
        <v>472</v>
      </c>
      <c r="D45" s="102" t="e">
        <f>AccredExpl!J17</f>
        <v>#N/A</v>
      </c>
      <c r="E45" s="102" t="e">
        <f>'Accred (2)'!J17</f>
        <v>#N/A</v>
      </c>
      <c r="F45" s="100" t="e">
        <f t="shared" si="0"/>
        <v>#N/A</v>
      </c>
      <c r="G45" s="98"/>
      <c r="H45" s="97"/>
      <c r="I45" s="99"/>
    </row>
    <row r="46" spans="1:9" x14ac:dyDescent="0.2">
      <c r="A46" s="92">
        <v>138</v>
      </c>
      <c r="B46" s="95" t="s">
        <v>462</v>
      </c>
      <c r="C46" s="96" t="s">
        <v>473</v>
      </c>
      <c r="D46" s="97" t="e">
        <f>AccredExpl!K16</f>
        <v>#N/A</v>
      </c>
      <c r="E46" s="97" t="e">
        <f>'Accred (2)'!K16</f>
        <v>#N/A</v>
      </c>
      <c r="F46" s="98" t="e">
        <f t="shared" si="0"/>
        <v>#N/A</v>
      </c>
      <c r="G46" s="98">
        <v>127</v>
      </c>
      <c r="H46" s="97">
        <v>139</v>
      </c>
      <c r="I46" s="99">
        <v>158</v>
      </c>
    </row>
    <row r="47" spans="1:9" ht="13.5" thickBot="1" x14ac:dyDescent="0.25">
      <c r="A47" s="92">
        <v>139</v>
      </c>
      <c r="B47" s="103" t="s">
        <v>462</v>
      </c>
      <c r="C47" s="104" t="s">
        <v>474</v>
      </c>
      <c r="D47" s="445" t="e">
        <f>AccredExpl!K17</f>
        <v>#N/A</v>
      </c>
      <c r="E47" s="445" t="e">
        <f>'Accred (2)'!K17</f>
        <v>#N/A</v>
      </c>
      <c r="F47" s="105" t="e">
        <f t="shared" si="0"/>
        <v>#N/A</v>
      </c>
      <c r="G47" s="106"/>
      <c r="H47" s="557"/>
      <c r="I47" s="107"/>
    </row>
  </sheetData>
  <sheetProtection sheet="1" objects="1" scenarios="1"/>
  <mergeCells count="2">
    <mergeCell ref="B1:C1"/>
    <mergeCell ref="B2:I2"/>
  </mergeCells>
  <printOptions horizontalCentered="1"/>
  <pageMargins left="0.75" right="0.75" top="1" bottom="1" header="0.5" footer="0.5"/>
  <pageSetup scale="51" fitToHeight="2" orientation="portrait" r:id="rId1"/>
  <headerFooter alignWithMargins="0">
    <oddFooter>&amp;L&amp;"Calibri,Regular"Diagnostic Imaging Facility Utilization Report
Fiscal Year 2024
&amp;C&amp;"Calibri,Regular"&amp;P of &amp;N&amp;R&amp;"Calibri,Regular"Minnesota Department of Health
Phone 651-201-3572
health.hccis@state.mn.us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R341"/>
  <sheetViews>
    <sheetView zoomScaleNormal="100" workbookViewId="0">
      <selection activeCell="A2" sqref="A2:F340"/>
    </sheetView>
  </sheetViews>
  <sheetFormatPr defaultColWidth="8.85546875" defaultRowHeight="12.75" x14ac:dyDescent="0.2"/>
  <cols>
    <col min="1" max="5" width="8.85546875" style="18"/>
    <col min="6" max="6" width="18" style="18" bestFit="1" customWidth="1"/>
    <col min="7" max="11" width="8.85546875" style="18"/>
    <col min="12" max="13" width="10.140625" style="18" customWidth="1"/>
    <col min="14" max="16384" width="8.85546875" style="18"/>
  </cols>
  <sheetData>
    <row r="1" spans="1:18" s="19" customFormat="1" ht="50.25" customHeight="1" x14ac:dyDescent="0.2">
      <c r="A1" s="19" t="s">
        <v>66</v>
      </c>
      <c r="B1" s="19" t="s">
        <v>67</v>
      </c>
      <c r="C1" s="19" t="s">
        <v>68</v>
      </c>
      <c r="D1" s="19" t="s">
        <v>69</v>
      </c>
      <c r="E1" s="19" t="s">
        <v>253</v>
      </c>
      <c r="F1" s="108" t="s">
        <v>25</v>
      </c>
      <c r="H1" s="616" t="s">
        <v>163</v>
      </c>
      <c r="I1" s="616"/>
      <c r="J1" s="109" t="s">
        <v>479</v>
      </c>
      <c r="K1" s="109"/>
      <c r="O1" s="19">
        <f>'Demog Contact'!L1</f>
        <v>2024</v>
      </c>
    </row>
    <row r="2" spans="1:18" x14ac:dyDescent="0.2">
      <c r="A2" s="18">
        <f>start</f>
        <v>0</v>
      </c>
      <c r="B2" s="18">
        <f>O1</f>
        <v>2024</v>
      </c>
      <c r="C2" s="110">
        <f>'Fixed Equip'!B$5</f>
        <v>7708</v>
      </c>
      <c r="D2" s="110" t="str">
        <f>IF(ISBLANK('Fixed Equip'!C$5),"",'Fixed Equip'!C$5)</f>
        <v/>
      </c>
      <c r="E2" s="18">
        <v>20</v>
      </c>
      <c r="F2" s="18" t="str">
        <f>IF(ISBLANK('Fixed Equip'!B$30),"new_ID",start)</f>
        <v>new_ID</v>
      </c>
      <c r="G2" s="111" t="s">
        <v>123</v>
      </c>
      <c r="H2" s="111"/>
      <c r="I2" s="111"/>
      <c r="J2" s="19" t="s">
        <v>483</v>
      </c>
      <c r="K2" s="109" t="s">
        <v>482</v>
      </c>
      <c r="L2" s="109" t="s">
        <v>484</v>
      </c>
      <c r="M2" s="109" t="s">
        <v>486</v>
      </c>
      <c r="N2" s="109" t="s">
        <v>487</v>
      </c>
      <c r="O2" s="111"/>
    </row>
    <row r="3" spans="1:18" x14ac:dyDescent="0.2">
      <c r="A3" s="18">
        <f>start</f>
        <v>0</v>
      </c>
      <c r="B3" s="18">
        <f>O1</f>
        <v>2024</v>
      </c>
      <c r="C3" s="110">
        <f>'Fixed Equip'!B$6</f>
        <v>7709</v>
      </c>
      <c r="D3" s="110" t="str">
        <f>IF(ISBLANK('Fixed Equip'!C$6),"",'Fixed Equip'!C$6)</f>
        <v/>
      </c>
      <c r="E3" s="18">
        <v>20</v>
      </c>
      <c r="F3" s="18" t="str">
        <f>IF(ISBLANK('Fixed Equip'!B$30),"new_ID",start)</f>
        <v>new_ID</v>
      </c>
      <c r="G3" s="111" t="s">
        <v>123</v>
      </c>
      <c r="H3" s="111"/>
      <c r="I3" s="111"/>
      <c r="J3" s="111" t="s">
        <v>269</v>
      </c>
      <c r="K3" s="111">
        <v>7914</v>
      </c>
      <c r="L3" s="111">
        <f>IF(ISBLANK('Mobile Equip'!C$19),"",'Mobile Equip'!C$19)</f>
        <v>0</v>
      </c>
      <c r="M3" s="111">
        <f>('Mobile Locations'!E$300)</f>
        <v>0</v>
      </c>
      <c r="N3" s="112">
        <f>('Mobile Locations'!AA$300)</f>
        <v>0</v>
      </c>
      <c r="O3" s="113" t="str">
        <f t="shared" ref="O3:O8" si="0">IF(L3=N3,"","Check")</f>
        <v/>
      </c>
    </row>
    <row r="4" spans="1:18" x14ac:dyDescent="0.2">
      <c r="A4" s="18">
        <f>start</f>
        <v>0</v>
      </c>
      <c r="B4" s="18">
        <f>O1</f>
        <v>2024</v>
      </c>
      <c r="C4" s="110">
        <f>'Fixed Equip'!B$7</f>
        <v>7710</v>
      </c>
      <c r="D4" s="110" t="str">
        <f>IF(ISBLANK('Fixed Equip'!C$7),"",'Fixed Equip'!C$7)</f>
        <v/>
      </c>
      <c r="E4" s="18">
        <v>20</v>
      </c>
      <c r="F4" s="18" t="str">
        <f>IF(ISBLANK('Fixed Equip'!B$30),"new_ID",start)</f>
        <v>new_ID</v>
      </c>
      <c r="G4" s="111" t="s">
        <v>123</v>
      </c>
      <c r="H4" s="111"/>
      <c r="I4" s="111"/>
      <c r="J4" s="111" t="s">
        <v>270</v>
      </c>
      <c r="K4" s="111">
        <v>7929</v>
      </c>
      <c r="L4" s="111">
        <f>IF(ISBLANK('Mobile Equip'!F$19),"",'Mobile Equip'!F$19)</f>
        <v>0</v>
      </c>
      <c r="M4" s="111">
        <f>('Mobile Locations'!F$300)</f>
        <v>0</v>
      </c>
      <c r="N4" s="112">
        <f>('Mobile Locations'!AB$300)</f>
        <v>0</v>
      </c>
      <c r="O4" s="113" t="str">
        <f t="shared" si="0"/>
        <v/>
      </c>
    </row>
    <row r="5" spans="1:18" x14ac:dyDescent="0.2">
      <c r="A5" s="18">
        <f>start</f>
        <v>0</v>
      </c>
      <c r="B5" s="18">
        <f>O1</f>
        <v>2024</v>
      </c>
      <c r="C5" s="110">
        <f>'Fixed Equip'!B$8</f>
        <v>7711</v>
      </c>
      <c r="D5" s="110" t="str">
        <f>IF(ISBLANK('Fixed Equip'!C$8),"",'Fixed Equip'!C$8)</f>
        <v/>
      </c>
      <c r="E5" s="18">
        <v>20</v>
      </c>
      <c r="F5" s="18" t="str">
        <f>IF(ISBLANK('Fixed Equip'!B$30),"new_ID",start)</f>
        <v>new_ID</v>
      </c>
      <c r="G5" s="111" t="s">
        <v>123</v>
      </c>
      <c r="H5" s="111"/>
      <c r="I5" s="111"/>
      <c r="J5" s="111" t="s">
        <v>480</v>
      </c>
      <c r="K5" s="111">
        <v>7944</v>
      </c>
      <c r="L5" s="111">
        <f>IF(ISBLANK('Mobile Equip'!I$19),"",'Mobile Equip'!I$19)</f>
        <v>0</v>
      </c>
      <c r="M5" s="111">
        <f>('Mobile Locations'!G$300)</f>
        <v>0</v>
      </c>
      <c r="N5" s="112">
        <f>('Mobile Locations'!AC$300)</f>
        <v>0</v>
      </c>
      <c r="O5" s="113" t="str">
        <f t="shared" si="0"/>
        <v/>
      </c>
    </row>
    <row r="6" spans="1:18" x14ac:dyDescent="0.2">
      <c r="A6" s="18">
        <f t="shared" ref="A6:A69" si="1">start</f>
        <v>0</v>
      </c>
      <c r="B6" s="18">
        <f>O1</f>
        <v>2024</v>
      </c>
      <c r="C6" s="110">
        <f>'Fixed Equip'!B$9</f>
        <v>7712</v>
      </c>
      <c r="D6" s="110" t="str">
        <f>IF(ISBLANK('Fixed Equip'!C$9),"",'Fixed Equip'!C$9)</f>
        <v/>
      </c>
      <c r="E6" s="18">
        <v>20</v>
      </c>
      <c r="F6" s="18" t="str">
        <f>IF(ISBLANK('Fixed Equip'!B$30),"new_ID",start)</f>
        <v>new_ID</v>
      </c>
      <c r="G6" s="111" t="s">
        <v>123</v>
      </c>
      <c r="H6" s="111"/>
      <c r="I6" s="111"/>
      <c r="J6" s="111" t="s">
        <v>272</v>
      </c>
      <c r="K6" s="111">
        <v>7959</v>
      </c>
      <c r="L6" s="111">
        <f>IF(ISBLANK('Mobile Equip'!L$19),"",'Mobile Equip'!L$19)</f>
        <v>0</v>
      </c>
      <c r="M6" s="111">
        <f>('Mobile Locations'!H$300)</f>
        <v>0</v>
      </c>
      <c r="N6" s="112">
        <f>('Mobile Locations'!AD$300)</f>
        <v>0</v>
      </c>
      <c r="O6" s="113" t="str">
        <f t="shared" si="0"/>
        <v/>
      </c>
    </row>
    <row r="7" spans="1:18" x14ac:dyDescent="0.2">
      <c r="A7" s="18">
        <f t="shared" si="1"/>
        <v>0</v>
      </c>
      <c r="B7" s="18">
        <f>O1</f>
        <v>2024</v>
      </c>
      <c r="C7" s="110">
        <f>'Fixed Equip'!B$10</f>
        <v>7713</v>
      </c>
      <c r="D7" s="110" t="str">
        <f>IF(ISBLANK('Fixed Equip'!C$10),"",'Fixed Equip'!C$10)</f>
        <v/>
      </c>
      <c r="E7" s="18">
        <v>20</v>
      </c>
      <c r="F7" s="18" t="str">
        <f>IF(ISBLANK('Fixed Equip'!B$30),"new_ID",start)</f>
        <v>new_ID</v>
      </c>
      <c r="G7" s="111" t="s">
        <v>123</v>
      </c>
      <c r="H7" s="111"/>
      <c r="I7" s="111"/>
      <c r="J7" s="111" t="s">
        <v>481</v>
      </c>
      <c r="K7" s="111">
        <v>7974</v>
      </c>
      <c r="L7" s="111">
        <f>IF(ISBLANK('Mobile Equip'!O$19),"",'Mobile Equip'!O$19)</f>
        <v>0</v>
      </c>
      <c r="M7" s="111">
        <f>('Mobile Locations'!I$300)</f>
        <v>0</v>
      </c>
      <c r="N7" s="112">
        <f>('Mobile Locations'!AE$300)</f>
        <v>0</v>
      </c>
      <c r="O7" s="113" t="str">
        <f t="shared" si="0"/>
        <v/>
      </c>
    </row>
    <row r="8" spans="1:18" x14ac:dyDescent="0.2">
      <c r="A8" s="18">
        <f t="shared" si="1"/>
        <v>0</v>
      </c>
      <c r="B8" s="18">
        <f>O1</f>
        <v>2024</v>
      </c>
      <c r="C8" s="110">
        <f>'Fixed Equip'!B$11</f>
        <v>7714</v>
      </c>
      <c r="D8" s="110" t="str">
        <f>IF(ISBLANK('Fixed Equip'!C$11),"",'Fixed Equip'!C$11)</f>
        <v/>
      </c>
      <c r="E8" s="18">
        <v>20</v>
      </c>
      <c r="F8" s="18" t="str">
        <f>IF(ISBLANK('Fixed Equip'!B$30),"new_ID",start)</f>
        <v>new_ID</v>
      </c>
      <c r="G8" s="111" t="s">
        <v>123</v>
      </c>
      <c r="H8" s="111"/>
      <c r="I8" s="111"/>
      <c r="J8" s="111" t="s">
        <v>274</v>
      </c>
      <c r="K8" s="111">
        <v>7989</v>
      </c>
      <c r="L8" s="111">
        <f>IF(ISBLANK('Mobile Equip'!R$19),"",'Mobile Equip'!R$19)</f>
        <v>0</v>
      </c>
      <c r="M8" s="111">
        <f>('Mobile Locations'!J$300)</f>
        <v>0</v>
      </c>
      <c r="N8" s="112">
        <f>('Mobile Locations'!AF$300)</f>
        <v>0</v>
      </c>
      <c r="O8" s="113" t="str">
        <f t="shared" si="0"/>
        <v/>
      </c>
    </row>
    <row r="9" spans="1:18" ht="13.15" customHeight="1" x14ac:dyDescent="0.2">
      <c r="A9" s="18">
        <f t="shared" si="1"/>
        <v>0</v>
      </c>
      <c r="B9" s="18">
        <f>O1</f>
        <v>2024</v>
      </c>
      <c r="C9" s="110">
        <f>'Fixed Equip'!B$12</f>
        <v>7715</v>
      </c>
      <c r="D9" s="110" t="str">
        <f>IF(ISBLANK('Fixed Equip'!C$12),"",'Fixed Equip'!C$12)</f>
        <v/>
      </c>
      <c r="E9" s="18">
        <v>20</v>
      </c>
      <c r="F9" s="18" t="str">
        <f>IF(ISBLANK('Fixed Equip'!B$30),"new_ID",start)</f>
        <v>new_ID</v>
      </c>
      <c r="G9" s="111" t="s">
        <v>123</v>
      </c>
      <c r="H9" s="111"/>
      <c r="I9" s="111"/>
      <c r="J9" s="111"/>
      <c r="K9" s="111"/>
      <c r="L9" s="114">
        <f>SUM(L3:L8)</f>
        <v>0</v>
      </c>
      <c r="M9" s="111"/>
      <c r="N9" s="114">
        <f>SUM(N3:N8)</f>
        <v>0</v>
      </c>
      <c r="O9" s="115">
        <f>('Mobile Locations'!L$300)</f>
        <v>0</v>
      </c>
      <c r="P9" s="617" t="s">
        <v>485</v>
      </c>
      <c r="Q9" s="617"/>
      <c r="R9" s="617"/>
    </row>
    <row r="10" spans="1:18" x14ac:dyDescent="0.2">
      <c r="A10" s="18">
        <f t="shared" si="1"/>
        <v>0</v>
      </c>
      <c r="B10" s="18">
        <f>O1</f>
        <v>2024</v>
      </c>
      <c r="C10" s="110">
        <f>'Fixed Equip'!B$13</f>
        <v>7716</v>
      </c>
      <c r="D10" s="110" t="str">
        <f>IF(ISBLANK('Fixed Equip'!C$13),"",'Fixed Equip'!C$13)</f>
        <v/>
      </c>
      <c r="E10" s="18">
        <v>20</v>
      </c>
      <c r="F10" s="18" t="str">
        <f>IF(ISBLANK('Fixed Equip'!B$30),"new_ID",start)</f>
        <v>new_ID</v>
      </c>
      <c r="G10" s="111" t="s">
        <v>123</v>
      </c>
      <c r="H10" s="111"/>
      <c r="I10" s="111"/>
      <c r="J10" s="111"/>
      <c r="K10" s="111"/>
      <c r="L10" s="111"/>
      <c r="M10" s="111"/>
      <c r="N10" s="111"/>
      <c r="O10" s="116"/>
      <c r="P10" s="617"/>
      <c r="Q10" s="617"/>
      <c r="R10" s="617"/>
    </row>
    <row r="11" spans="1:18" x14ac:dyDescent="0.2">
      <c r="A11" s="18">
        <f t="shared" si="1"/>
        <v>0</v>
      </c>
      <c r="B11" s="18">
        <f>O1</f>
        <v>2024</v>
      </c>
      <c r="C11" s="110">
        <f>'Fixed Equip'!B$14</f>
        <v>7717</v>
      </c>
      <c r="D11" s="110" t="str">
        <f>IF(ISBLANK('Fixed Equip'!C$14),"",'Fixed Equip'!C$14)</f>
        <v/>
      </c>
      <c r="E11" s="18">
        <v>20</v>
      </c>
      <c r="F11" s="18" t="str">
        <f>IF(ISBLANK('Fixed Equip'!B$30),"new_ID",start)</f>
        <v>new_ID</v>
      </c>
      <c r="G11" s="111" t="s">
        <v>123</v>
      </c>
      <c r="H11" s="111"/>
      <c r="I11" s="111"/>
      <c r="J11" s="111"/>
      <c r="K11" s="111"/>
      <c r="L11" s="111"/>
      <c r="M11" s="111"/>
      <c r="N11" s="111"/>
      <c r="O11" s="111"/>
    </row>
    <row r="12" spans="1:18" x14ac:dyDescent="0.2">
      <c r="A12" s="18">
        <f t="shared" si="1"/>
        <v>0</v>
      </c>
      <c r="B12" s="18">
        <f>O1</f>
        <v>2024</v>
      </c>
      <c r="C12" s="110">
        <f>'Fixed Equip'!B$15</f>
        <v>7718</v>
      </c>
      <c r="D12" s="456" t="str">
        <f>IF(OR('Fixed Equip'!C$15=0,ISBLANK('Fixed Equip'!C$15)),"",'Fixed Equip'!C$15)</f>
        <v/>
      </c>
      <c r="E12" s="18">
        <v>20</v>
      </c>
      <c r="F12" s="18" t="str">
        <f>IF(ISBLANK('Fixed Equip'!B$30),"new_ID",start)</f>
        <v>new_ID</v>
      </c>
      <c r="G12" s="111" t="s">
        <v>123</v>
      </c>
      <c r="H12" s="111"/>
      <c r="I12" s="111"/>
      <c r="J12" s="111"/>
      <c r="K12" s="111"/>
      <c r="L12" s="111"/>
      <c r="M12" s="111"/>
      <c r="N12" s="111"/>
      <c r="O12" s="111"/>
    </row>
    <row r="13" spans="1:18" x14ac:dyDescent="0.2">
      <c r="A13" s="18">
        <f t="shared" si="1"/>
        <v>0</v>
      </c>
      <c r="B13" s="18">
        <f>O1</f>
        <v>2024</v>
      </c>
      <c r="C13" s="110">
        <f>'Fixed Equip'!B$16</f>
        <v>7719</v>
      </c>
      <c r="D13" s="110" t="str">
        <f>IF(ISBLANK('Fixed Equip'!C$16),"",'Fixed Equip'!C$16)</f>
        <v/>
      </c>
      <c r="E13" s="18">
        <v>20</v>
      </c>
      <c r="F13" s="18" t="str">
        <f>IF(ISBLANK('Fixed Equip'!B$30),"new_ID",start)</f>
        <v>new_ID</v>
      </c>
      <c r="G13" s="111" t="s">
        <v>123</v>
      </c>
      <c r="H13" s="111"/>
      <c r="I13" s="111"/>
      <c r="J13" s="111"/>
      <c r="K13" s="111"/>
      <c r="L13" s="111"/>
      <c r="M13" s="111"/>
      <c r="N13" s="111"/>
      <c r="O13" s="111"/>
    </row>
    <row r="14" spans="1:18" hidden="1" x14ac:dyDescent="0.2">
      <c r="C14" s="110"/>
      <c r="D14" s="110"/>
      <c r="G14" s="111" t="s">
        <v>123</v>
      </c>
      <c r="H14" s="111"/>
      <c r="I14" s="111"/>
      <c r="J14" s="111"/>
      <c r="K14" s="111"/>
      <c r="L14" s="111"/>
      <c r="M14" s="111"/>
      <c r="N14" s="111"/>
      <c r="O14" s="111"/>
    </row>
    <row r="15" spans="1:18" x14ac:dyDescent="0.2">
      <c r="A15" s="18">
        <f t="shared" si="1"/>
        <v>0</v>
      </c>
      <c r="B15" s="18">
        <f>O1</f>
        <v>2024</v>
      </c>
      <c r="C15" s="110">
        <f>'Fixed Equip'!B$18</f>
        <v>7721</v>
      </c>
      <c r="D15" s="110" t="str">
        <f>IF(ISBLANK('Fixed Equip'!C$18),"",'Fixed Equip'!C$18)</f>
        <v/>
      </c>
      <c r="E15" s="18">
        <v>20</v>
      </c>
      <c r="F15" s="18" t="str">
        <f>IF(ISBLANK('Fixed Equip'!B$30),"new_ID",start)</f>
        <v>new_ID</v>
      </c>
      <c r="G15" s="111" t="s">
        <v>123</v>
      </c>
      <c r="H15" s="111"/>
      <c r="I15" s="111"/>
      <c r="J15" s="111"/>
      <c r="K15" s="111"/>
      <c r="L15" s="111"/>
      <c r="M15" s="111"/>
      <c r="N15" s="111"/>
      <c r="O15" s="111"/>
    </row>
    <row r="16" spans="1:18" x14ac:dyDescent="0.2">
      <c r="A16" s="18">
        <f t="shared" si="1"/>
        <v>0</v>
      </c>
      <c r="B16" s="18">
        <f>O1</f>
        <v>2024</v>
      </c>
      <c r="C16" s="110">
        <f>'Fixed Equip'!B$19</f>
        <v>7722</v>
      </c>
      <c r="D16" s="456" t="str">
        <f>IF(OR('Fixed Equip'!C$19=0,ISBLANK('Fixed Equip'!C$19)),"",'Fixed Equip'!C$19)</f>
        <v/>
      </c>
      <c r="E16" s="18">
        <v>20</v>
      </c>
      <c r="F16" s="18" t="str">
        <f>IF(ISBLANK('Fixed Equip'!B$30),"new_ID",start)</f>
        <v>new_ID</v>
      </c>
      <c r="G16" s="111" t="s">
        <v>123</v>
      </c>
      <c r="H16" s="111"/>
      <c r="I16" s="111"/>
      <c r="J16" s="111"/>
      <c r="K16" s="111"/>
      <c r="L16" s="111"/>
      <c r="M16" s="111"/>
      <c r="N16" s="111"/>
      <c r="O16" s="111"/>
    </row>
    <row r="17" spans="1:15" x14ac:dyDescent="0.2">
      <c r="A17" s="18">
        <f t="shared" si="1"/>
        <v>0</v>
      </c>
      <c r="B17" s="18">
        <f>O1</f>
        <v>2024</v>
      </c>
      <c r="C17" s="110">
        <f>'Fixed Equip'!E$5</f>
        <v>7723</v>
      </c>
      <c r="D17" s="110" t="str">
        <f>IF(ISBLANK('Fixed Equip'!F$5),"",'Fixed Equip'!F$5)</f>
        <v/>
      </c>
      <c r="E17" s="18">
        <v>20</v>
      </c>
      <c r="F17" s="18" t="str">
        <f>IF(ISBLANK('Fixed Equip'!E$30),"new_ID",start)</f>
        <v>new_ID</v>
      </c>
      <c r="G17" s="118" t="s">
        <v>123</v>
      </c>
      <c r="H17" s="111"/>
      <c r="I17" s="111"/>
      <c r="J17" s="111"/>
      <c r="K17" s="111"/>
      <c r="L17" s="111"/>
      <c r="M17" s="111"/>
      <c r="N17" s="111"/>
      <c r="O17" s="111"/>
    </row>
    <row r="18" spans="1:15" x14ac:dyDescent="0.2">
      <c r="A18" s="18">
        <f t="shared" si="1"/>
        <v>0</v>
      </c>
      <c r="B18" s="18">
        <f>O1</f>
        <v>2024</v>
      </c>
      <c r="C18" s="110">
        <f>'Fixed Equip'!E$6</f>
        <v>7724</v>
      </c>
      <c r="D18" s="110" t="str">
        <f>IF(ISBLANK('Fixed Equip'!F$6),"",'Fixed Equip'!F$6)</f>
        <v/>
      </c>
      <c r="E18" s="18">
        <v>20</v>
      </c>
      <c r="F18" s="18" t="str">
        <f>IF(ISBLANK('Fixed Equip'!E$30),"new_ID",start)</f>
        <v>new_ID</v>
      </c>
      <c r="G18" s="111" t="s">
        <v>123</v>
      </c>
      <c r="H18" s="111"/>
      <c r="I18" s="111"/>
      <c r="J18" s="111"/>
      <c r="K18" s="111"/>
      <c r="L18" s="111"/>
      <c r="M18" s="111"/>
      <c r="N18" s="111"/>
      <c r="O18" s="111"/>
    </row>
    <row r="19" spans="1:15" x14ac:dyDescent="0.2">
      <c r="A19" s="18">
        <f t="shared" si="1"/>
        <v>0</v>
      </c>
      <c r="B19" s="18">
        <f>O1</f>
        <v>2024</v>
      </c>
      <c r="C19" s="110">
        <f>'Fixed Equip'!E$7</f>
        <v>7725</v>
      </c>
      <c r="D19" s="110" t="str">
        <f>IF(ISBLANK('Fixed Equip'!F$7),"",'Fixed Equip'!F$7)</f>
        <v/>
      </c>
      <c r="E19" s="18">
        <v>20</v>
      </c>
      <c r="F19" s="18" t="str">
        <f>IF(ISBLANK('Fixed Equip'!E$30),"new_ID",start)</f>
        <v>new_ID</v>
      </c>
      <c r="G19" s="111" t="s">
        <v>123</v>
      </c>
    </row>
    <row r="20" spans="1:15" x14ac:dyDescent="0.2">
      <c r="A20" s="18">
        <f t="shared" si="1"/>
        <v>0</v>
      </c>
      <c r="B20" s="18">
        <f>O1</f>
        <v>2024</v>
      </c>
      <c r="C20" s="110">
        <f>'Fixed Equip'!E$8</f>
        <v>7726</v>
      </c>
      <c r="D20" s="110" t="str">
        <f>IF(ISBLANK('Fixed Equip'!F$8),"",'Fixed Equip'!F$8)</f>
        <v/>
      </c>
      <c r="E20" s="18">
        <v>20</v>
      </c>
      <c r="F20" s="18" t="str">
        <f>IF(ISBLANK('Fixed Equip'!E$30),"new_ID",start)</f>
        <v>new_ID</v>
      </c>
      <c r="G20" s="111" t="s">
        <v>123</v>
      </c>
    </row>
    <row r="21" spans="1:15" x14ac:dyDescent="0.2">
      <c r="A21" s="18">
        <f t="shared" si="1"/>
        <v>0</v>
      </c>
      <c r="B21" s="18">
        <f>O1</f>
        <v>2024</v>
      </c>
      <c r="C21" s="110">
        <f>'Fixed Equip'!E$9</f>
        <v>7727</v>
      </c>
      <c r="D21" s="110" t="str">
        <f>IF(ISBLANK('Fixed Equip'!F$9),"",'Fixed Equip'!F$9)</f>
        <v/>
      </c>
      <c r="E21" s="18">
        <v>20</v>
      </c>
      <c r="F21" s="18" t="str">
        <f>IF(ISBLANK('Fixed Equip'!E$30),"new_ID",start)</f>
        <v>new_ID</v>
      </c>
      <c r="G21" s="111" t="s">
        <v>123</v>
      </c>
    </row>
    <row r="22" spans="1:15" x14ac:dyDescent="0.2">
      <c r="A22" s="18">
        <f t="shared" si="1"/>
        <v>0</v>
      </c>
      <c r="B22" s="18">
        <f>O1</f>
        <v>2024</v>
      </c>
      <c r="C22" s="110">
        <f>'Fixed Equip'!E$10</f>
        <v>7728</v>
      </c>
      <c r="D22" s="110" t="str">
        <f>IF(ISBLANK('Fixed Equip'!F$10),"",'Fixed Equip'!F$10)</f>
        <v/>
      </c>
      <c r="E22" s="18">
        <v>20</v>
      </c>
      <c r="F22" s="18" t="str">
        <f>IF(ISBLANK('Fixed Equip'!E$30),"new_ID",start)</f>
        <v>new_ID</v>
      </c>
      <c r="G22" s="111" t="s">
        <v>123</v>
      </c>
    </row>
    <row r="23" spans="1:15" x14ac:dyDescent="0.2">
      <c r="A23" s="18">
        <f t="shared" si="1"/>
        <v>0</v>
      </c>
      <c r="B23" s="18">
        <f>O1</f>
        <v>2024</v>
      </c>
      <c r="C23" s="110">
        <f>'Fixed Equip'!E$11</f>
        <v>7729</v>
      </c>
      <c r="D23" s="110" t="str">
        <f>IF(ISBLANK('Fixed Equip'!F$11),"",'Fixed Equip'!F$11)</f>
        <v/>
      </c>
      <c r="E23" s="18">
        <v>20</v>
      </c>
      <c r="F23" s="18" t="str">
        <f>IF(ISBLANK('Fixed Equip'!E$30),"new_ID",start)</f>
        <v>new_ID</v>
      </c>
      <c r="G23" s="111" t="s">
        <v>123</v>
      </c>
    </row>
    <row r="24" spans="1:15" x14ac:dyDescent="0.2">
      <c r="A24" s="18">
        <f t="shared" si="1"/>
        <v>0</v>
      </c>
      <c r="B24" s="18">
        <f>O1</f>
        <v>2024</v>
      </c>
      <c r="C24" s="110">
        <f>'Fixed Equip'!E$12</f>
        <v>7730</v>
      </c>
      <c r="D24" s="110" t="str">
        <f>IF(ISBLANK('Fixed Equip'!F$12),"",'Fixed Equip'!F$12)</f>
        <v/>
      </c>
      <c r="E24" s="18">
        <v>20</v>
      </c>
      <c r="F24" s="18" t="str">
        <f>IF(ISBLANK('Fixed Equip'!E$30),"new_ID",start)</f>
        <v>new_ID</v>
      </c>
      <c r="G24" s="111" t="s">
        <v>123</v>
      </c>
    </row>
    <row r="25" spans="1:15" x14ac:dyDescent="0.2">
      <c r="A25" s="18">
        <f t="shared" si="1"/>
        <v>0</v>
      </c>
      <c r="B25" s="18">
        <f>O1</f>
        <v>2024</v>
      </c>
      <c r="C25" s="110">
        <f>'Fixed Equip'!E$13</f>
        <v>7731</v>
      </c>
      <c r="D25" s="110" t="str">
        <f>IF(ISBLANK('Fixed Equip'!F$13),"",'Fixed Equip'!F$13)</f>
        <v/>
      </c>
      <c r="E25" s="18">
        <v>20</v>
      </c>
      <c r="F25" s="18" t="str">
        <f>IF(ISBLANK('Fixed Equip'!E$30),"new_ID",start)</f>
        <v>new_ID</v>
      </c>
      <c r="G25" s="111" t="s">
        <v>123</v>
      </c>
    </row>
    <row r="26" spans="1:15" x14ac:dyDescent="0.2">
      <c r="A26" s="18">
        <f t="shared" si="1"/>
        <v>0</v>
      </c>
      <c r="B26" s="18">
        <f>O1</f>
        <v>2024</v>
      </c>
      <c r="C26" s="110">
        <f>'Fixed Equip'!E$14</f>
        <v>7732</v>
      </c>
      <c r="D26" s="110" t="str">
        <f>IF(ISBLANK('Fixed Equip'!F$14),"",'Fixed Equip'!F$14)</f>
        <v/>
      </c>
      <c r="E26" s="18">
        <v>20</v>
      </c>
      <c r="F26" s="18" t="str">
        <f>IF(ISBLANK('Fixed Equip'!E$30),"new_ID",start)</f>
        <v>new_ID</v>
      </c>
      <c r="G26" s="111" t="s">
        <v>123</v>
      </c>
    </row>
    <row r="27" spans="1:15" x14ac:dyDescent="0.2">
      <c r="A27" s="18">
        <f t="shared" si="1"/>
        <v>0</v>
      </c>
      <c r="B27" s="18">
        <f>O1</f>
        <v>2024</v>
      </c>
      <c r="C27" s="110">
        <f>'Fixed Equip'!E$15</f>
        <v>7733</v>
      </c>
      <c r="D27" s="456" t="str">
        <f>IF(OR('Fixed Equip'!F$15=0,ISBLANK('Fixed Equip'!F$15)),"",'Fixed Equip'!F$15)</f>
        <v/>
      </c>
      <c r="E27" s="18">
        <v>20</v>
      </c>
      <c r="F27" s="18" t="str">
        <f>IF(ISBLANK('Fixed Equip'!E$30),"new_ID",start)</f>
        <v>new_ID</v>
      </c>
      <c r="G27" s="111" t="s">
        <v>123</v>
      </c>
    </row>
    <row r="28" spans="1:15" x14ac:dyDescent="0.2">
      <c r="A28" s="18">
        <f t="shared" si="1"/>
        <v>0</v>
      </c>
      <c r="B28" s="18">
        <f>O1</f>
        <v>2024</v>
      </c>
      <c r="C28" s="110">
        <f>'Fixed Equip'!E$16</f>
        <v>7734</v>
      </c>
      <c r="D28" s="110" t="str">
        <f>IF(ISBLANK('Fixed Equip'!F$16),"",'Fixed Equip'!F$16)</f>
        <v/>
      </c>
      <c r="E28" s="18">
        <v>20</v>
      </c>
      <c r="F28" s="18" t="str">
        <f>IF(ISBLANK('Fixed Equip'!E$30),"new_ID",start)</f>
        <v>new_ID</v>
      </c>
      <c r="G28" s="111" t="s">
        <v>123</v>
      </c>
    </row>
    <row r="29" spans="1:15" hidden="1" x14ac:dyDescent="0.2">
      <c r="C29" s="110"/>
      <c r="D29" s="110"/>
      <c r="G29" s="111" t="s">
        <v>123</v>
      </c>
    </row>
    <row r="30" spans="1:15" x14ac:dyDescent="0.2">
      <c r="A30" s="18">
        <f t="shared" si="1"/>
        <v>0</v>
      </c>
      <c r="B30" s="18">
        <f>O1</f>
        <v>2024</v>
      </c>
      <c r="C30" s="110">
        <f>'Fixed Equip'!E$18</f>
        <v>7736</v>
      </c>
      <c r="D30" s="110" t="str">
        <f>IF(ISBLANK('Fixed Equip'!F$18),"",'Fixed Equip'!F$18)</f>
        <v/>
      </c>
      <c r="E30" s="18">
        <v>20</v>
      </c>
      <c r="F30" s="18" t="str">
        <f>IF(ISBLANK('Fixed Equip'!E$30),"new_ID",start)</f>
        <v>new_ID</v>
      </c>
      <c r="G30" s="111" t="s">
        <v>123</v>
      </c>
    </row>
    <row r="31" spans="1:15" x14ac:dyDescent="0.2">
      <c r="A31" s="18">
        <f t="shared" si="1"/>
        <v>0</v>
      </c>
      <c r="B31" s="18">
        <f>O1</f>
        <v>2024</v>
      </c>
      <c r="C31" s="110">
        <f>'Fixed Equip'!E$19</f>
        <v>7737</v>
      </c>
      <c r="D31" s="456" t="str">
        <f>IF(OR('Fixed Equip'!F$19=0,ISBLANK('Fixed Equip'!F$19)),"",'Fixed Equip'!F$19)</f>
        <v/>
      </c>
      <c r="E31" s="18">
        <v>20</v>
      </c>
      <c r="F31" s="18" t="str">
        <f>IF(ISBLANK('Fixed Equip'!E$30),"new_ID",start)</f>
        <v>new_ID</v>
      </c>
      <c r="G31" s="111" t="s">
        <v>123</v>
      </c>
    </row>
    <row r="32" spans="1:15" x14ac:dyDescent="0.2">
      <c r="A32" s="18">
        <f t="shared" si="1"/>
        <v>0</v>
      </c>
      <c r="B32" s="18">
        <f>O1</f>
        <v>2024</v>
      </c>
      <c r="C32" s="110">
        <f>'Fixed Equip'!H$5</f>
        <v>7738</v>
      </c>
      <c r="D32" s="110" t="str">
        <f>IF(ISBLANK('Fixed Equip'!I$5),"",'Fixed Equip'!I$5)</f>
        <v/>
      </c>
      <c r="E32" s="18">
        <v>20</v>
      </c>
      <c r="F32" s="18" t="str">
        <f>IF(ISBLANK('Fixed Equip'!H$30),"new_ID",start)</f>
        <v>new_ID</v>
      </c>
      <c r="G32" s="118" t="s">
        <v>123</v>
      </c>
    </row>
    <row r="33" spans="1:7" x14ac:dyDescent="0.2">
      <c r="A33" s="18">
        <f t="shared" si="1"/>
        <v>0</v>
      </c>
      <c r="B33" s="18">
        <f>O1</f>
        <v>2024</v>
      </c>
      <c r="C33" s="110">
        <f>'Fixed Equip'!H$6</f>
        <v>7739</v>
      </c>
      <c r="D33" s="110" t="str">
        <f>IF(ISBLANK('Fixed Equip'!I$6),"",'Fixed Equip'!I$6)</f>
        <v/>
      </c>
      <c r="E33" s="18">
        <v>20</v>
      </c>
      <c r="F33" s="18" t="str">
        <f>IF(ISBLANK('Fixed Equip'!H$30),"new_ID",start)</f>
        <v>new_ID</v>
      </c>
      <c r="G33" s="111" t="s">
        <v>123</v>
      </c>
    </row>
    <row r="34" spans="1:7" x14ac:dyDescent="0.2">
      <c r="A34" s="18">
        <f t="shared" si="1"/>
        <v>0</v>
      </c>
      <c r="B34" s="18">
        <f>O1</f>
        <v>2024</v>
      </c>
      <c r="C34" s="110">
        <f>'Fixed Equip'!H$7</f>
        <v>7740</v>
      </c>
      <c r="D34" s="110" t="str">
        <f>IF(ISBLANK('Fixed Equip'!I$7),"",'Fixed Equip'!I$7)</f>
        <v/>
      </c>
      <c r="E34" s="18">
        <v>20</v>
      </c>
      <c r="F34" s="18" t="str">
        <f>IF(ISBLANK('Fixed Equip'!H$30),"new_ID",start)</f>
        <v>new_ID</v>
      </c>
      <c r="G34" s="111" t="s">
        <v>123</v>
      </c>
    </row>
    <row r="35" spans="1:7" x14ac:dyDescent="0.2">
      <c r="A35" s="18">
        <f t="shared" si="1"/>
        <v>0</v>
      </c>
      <c r="B35" s="18">
        <f>O1</f>
        <v>2024</v>
      </c>
      <c r="C35" s="110">
        <f>'Fixed Equip'!H$8</f>
        <v>7741</v>
      </c>
      <c r="D35" s="110" t="str">
        <f>IF(ISBLANK('Fixed Equip'!I$8),"",'Fixed Equip'!I$8)</f>
        <v/>
      </c>
      <c r="E35" s="18">
        <v>20</v>
      </c>
      <c r="F35" s="18" t="str">
        <f>IF(ISBLANK('Fixed Equip'!H$30),"new_ID",start)</f>
        <v>new_ID</v>
      </c>
      <c r="G35" s="111" t="s">
        <v>123</v>
      </c>
    </row>
    <row r="36" spans="1:7" x14ac:dyDescent="0.2">
      <c r="A36" s="18">
        <f t="shared" si="1"/>
        <v>0</v>
      </c>
      <c r="B36" s="18">
        <f>O1</f>
        <v>2024</v>
      </c>
      <c r="C36" s="110">
        <f>'Fixed Equip'!H$9</f>
        <v>7742</v>
      </c>
      <c r="D36" s="110" t="str">
        <f>IF(ISBLANK('Fixed Equip'!I$9),"",'Fixed Equip'!I$9)</f>
        <v/>
      </c>
      <c r="E36" s="18">
        <v>20</v>
      </c>
      <c r="F36" s="18" t="str">
        <f>IF(ISBLANK('Fixed Equip'!H$30),"new_ID",start)</f>
        <v>new_ID</v>
      </c>
      <c r="G36" s="111" t="s">
        <v>123</v>
      </c>
    </row>
    <row r="37" spans="1:7" x14ac:dyDescent="0.2">
      <c r="A37" s="18">
        <f t="shared" si="1"/>
        <v>0</v>
      </c>
      <c r="B37" s="18">
        <f>O1</f>
        <v>2024</v>
      </c>
      <c r="C37" s="110">
        <f>'Fixed Equip'!H$10</f>
        <v>7743</v>
      </c>
      <c r="D37" s="110" t="str">
        <f>IF(ISBLANK('Fixed Equip'!I$10),"",'Fixed Equip'!I$10)</f>
        <v/>
      </c>
      <c r="E37" s="18">
        <v>20</v>
      </c>
      <c r="F37" s="18" t="str">
        <f>IF(ISBLANK('Fixed Equip'!H$30),"new_ID",start)</f>
        <v>new_ID</v>
      </c>
      <c r="G37" s="111" t="s">
        <v>123</v>
      </c>
    </row>
    <row r="38" spans="1:7" x14ac:dyDescent="0.2">
      <c r="A38" s="18">
        <f t="shared" si="1"/>
        <v>0</v>
      </c>
      <c r="B38" s="18">
        <f>O1</f>
        <v>2024</v>
      </c>
      <c r="C38" s="110">
        <f>'Fixed Equip'!H$11</f>
        <v>7744</v>
      </c>
      <c r="D38" s="110" t="str">
        <f>IF(ISBLANK('Fixed Equip'!I$11),"",'Fixed Equip'!I$11)</f>
        <v/>
      </c>
      <c r="E38" s="18">
        <v>20</v>
      </c>
      <c r="F38" s="18" t="str">
        <f>IF(ISBLANK('Fixed Equip'!H$30),"new_ID",start)</f>
        <v>new_ID</v>
      </c>
      <c r="G38" s="111" t="s">
        <v>123</v>
      </c>
    </row>
    <row r="39" spans="1:7" x14ac:dyDescent="0.2">
      <c r="A39" s="18">
        <f t="shared" si="1"/>
        <v>0</v>
      </c>
      <c r="B39" s="18">
        <f>O1</f>
        <v>2024</v>
      </c>
      <c r="C39" s="110">
        <f>'Fixed Equip'!H$12</f>
        <v>7745</v>
      </c>
      <c r="D39" s="110" t="str">
        <f>IF(ISBLANK('Fixed Equip'!I$12),"",'Fixed Equip'!I$12)</f>
        <v/>
      </c>
      <c r="E39" s="18">
        <v>20</v>
      </c>
      <c r="F39" s="18" t="str">
        <f>IF(ISBLANK('Fixed Equip'!H$30),"new_ID",start)</f>
        <v>new_ID</v>
      </c>
      <c r="G39" s="111" t="s">
        <v>123</v>
      </c>
    </row>
    <row r="40" spans="1:7" x14ac:dyDescent="0.2">
      <c r="A40" s="18">
        <f t="shared" si="1"/>
        <v>0</v>
      </c>
      <c r="B40" s="18">
        <f>O1</f>
        <v>2024</v>
      </c>
      <c r="C40" s="110">
        <f>'Fixed Equip'!H$13</f>
        <v>7746</v>
      </c>
      <c r="D40" s="110" t="str">
        <f>IF(ISBLANK('Fixed Equip'!I$13),"",'Fixed Equip'!I$13)</f>
        <v/>
      </c>
      <c r="E40" s="18">
        <v>20</v>
      </c>
      <c r="F40" s="18" t="str">
        <f>IF(ISBLANK('Fixed Equip'!H$30),"new_ID",start)</f>
        <v>new_ID</v>
      </c>
      <c r="G40" s="111" t="s">
        <v>123</v>
      </c>
    </row>
    <row r="41" spans="1:7" x14ac:dyDescent="0.2">
      <c r="A41" s="18">
        <f t="shared" si="1"/>
        <v>0</v>
      </c>
      <c r="B41" s="18">
        <f>O1</f>
        <v>2024</v>
      </c>
      <c r="C41" s="110">
        <f>'Fixed Equip'!H$14</f>
        <v>7747</v>
      </c>
      <c r="D41" s="110" t="str">
        <f>IF(ISBLANK('Fixed Equip'!I$14),"",'Fixed Equip'!I$14)</f>
        <v/>
      </c>
      <c r="E41" s="18">
        <v>20</v>
      </c>
      <c r="F41" s="18" t="str">
        <f>IF(ISBLANK('Fixed Equip'!H$30),"new_ID",start)</f>
        <v>new_ID</v>
      </c>
      <c r="G41" s="111" t="s">
        <v>123</v>
      </c>
    </row>
    <row r="42" spans="1:7" x14ac:dyDescent="0.2">
      <c r="A42" s="18">
        <f t="shared" si="1"/>
        <v>0</v>
      </c>
      <c r="B42" s="18">
        <f>O1</f>
        <v>2024</v>
      </c>
      <c r="C42" s="110">
        <f>'Fixed Equip'!H$15</f>
        <v>7748</v>
      </c>
      <c r="D42" s="456" t="str">
        <f>IF(OR('Fixed Equip'!I$15=0,ISBLANK('Fixed Equip'!I$15)),"",'Fixed Equip'!I$15)</f>
        <v/>
      </c>
      <c r="E42" s="18">
        <v>20</v>
      </c>
      <c r="F42" s="18" t="str">
        <f>IF(ISBLANK('Fixed Equip'!H$30),"new_ID",start)</f>
        <v>new_ID</v>
      </c>
      <c r="G42" s="111" t="s">
        <v>123</v>
      </c>
    </row>
    <row r="43" spans="1:7" x14ac:dyDescent="0.2">
      <c r="A43" s="18">
        <f t="shared" si="1"/>
        <v>0</v>
      </c>
      <c r="B43" s="18">
        <f>O1</f>
        <v>2024</v>
      </c>
      <c r="C43" s="110">
        <f>'Fixed Equip'!H$16</f>
        <v>7749</v>
      </c>
      <c r="D43" s="110" t="str">
        <f>IF(ISBLANK('Fixed Equip'!I$16),"",'Fixed Equip'!I$16)</f>
        <v/>
      </c>
      <c r="E43" s="18">
        <v>20</v>
      </c>
      <c r="F43" s="18" t="str">
        <f>IF(ISBLANK('Fixed Equip'!H$30),"new_ID",start)</f>
        <v>new_ID</v>
      </c>
      <c r="G43" s="111" t="s">
        <v>123</v>
      </c>
    </row>
    <row r="44" spans="1:7" hidden="1" x14ac:dyDescent="0.2">
      <c r="C44" s="110"/>
      <c r="D44" s="110"/>
      <c r="G44" s="111" t="s">
        <v>123</v>
      </c>
    </row>
    <row r="45" spans="1:7" x14ac:dyDescent="0.2">
      <c r="A45" s="18">
        <f t="shared" si="1"/>
        <v>0</v>
      </c>
      <c r="B45" s="18">
        <f>O1</f>
        <v>2024</v>
      </c>
      <c r="C45" s="110">
        <f>'Fixed Equip'!H$18</f>
        <v>7751</v>
      </c>
      <c r="D45" s="110" t="str">
        <f>IF(ISBLANK('Fixed Equip'!I$18),"",'Fixed Equip'!I$18)</f>
        <v/>
      </c>
      <c r="E45" s="18">
        <v>20</v>
      </c>
      <c r="F45" s="18" t="str">
        <f>IF(ISBLANK('Fixed Equip'!H$30),"new_ID",start)</f>
        <v>new_ID</v>
      </c>
      <c r="G45" s="111" t="s">
        <v>123</v>
      </c>
    </row>
    <row r="46" spans="1:7" x14ac:dyDescent="0.2">
      <c r="A46" s="18">
        <f t="shared" si="1"/>
        <v>0</v>
      </c>
      <c r="B46" s="18">
        <f>O1</f>
        <v>2024</v>
      </c>
      <c r="C46" s="110">
        <f>'Fixed Equip'!H$19</f>
        <v>7752</v>
      </c>
      <c r="D46" s="456" t="str">
        <f>IF(OR('Fixed Equip'!I$19=0,ISBLANK('Fixed Equip'!I$19)),"",'Fixed Equip'!I$19)</f>
        <v/>
      </c>
      <c r="E46" s="18">
        <v>20</v>
      </c>
      <c r="F46" s="18" t="str">
        <f>IF(ISBLANK('Fixed Equip'!H$30),"new_ID",start)</f>
        <v>new_ID</v>
      </c>
      <c r="G46" s="111" t="s">
        <v>123</v>
      </c>
    </row>
    <row r="47" spans="1:7" x14ac:dyDescent="0.2">
      <c r="A47" s="18">
        <f t="shared" si="1"/>
        <v>0</v>
      </c>
      <c r="B47" s="18">
        <f>O1</f>
        <v>2024</v>
      </c>
      <c r="C47" s="110">
        <f>'Fixed Equip'!K$5</f>
        <v>7753</v>
      </c>
      <c r="D47" s="110" t="str">
        <f>IF(ISBLANK('Fixed Equip'!L$5),"",'Fixed Equip'!L$5)</f>
        <v/>
      </c>
      <c r="E47" s="18">
        <v>20</v>
      </c>
      <c r="F47" s="18" t="str">
        <f>IF(ISBLANK('Fixed Equip'!K$30),"new_ID",start)</f>
        <v>new_ID</v>
      </c>
      <c r="G47" s="118" t="s">
        <v>123</v>
      </c>
    </row>
    <row r="48" spans="1:7" x14ac:dyDescent="0.2">
      <c r="A48" s="18">
        <f t="shared" si="1"/>
        <v>0</v>
      </c>
      <c r="B48" s="18">
        <f>O1</f>
        <v>2024</v>
      </c>
      <c r="C48" s="110">
        <f>'Fixed Equip'!K$6</f>
        <v>7754</v>
      </c>
      <c r="D48" s="110" t="str">
        <f>IF(ISBLANK('Fixed Equip'!L$6),"",'Fixed Equip'!L$6)</f>
        <v/>
      </c>
      <c r="E48" s="18">
        <v>20</v>
      </c>
      <c r="F48" s="18" t="str">
        <f>IF(ISBLANK('Fixed Equip'!K$30),"new_ID",start)</f>
        <v>new_ID</v>
      </c>
      <c r="G48" s="111" t="s">
        <v>123</v>
      </c>
    </row>
    <row r="49" spans="1:7" x14ac:dyDescent="0.2">
      <c r="A49" s="18">
        <f t="shared" si="1"/>
        <v>0</v>
      </c>
      <c r="B49" s="18">
        <f>O1</f>
        <v>2024</v>
      </c>
      <c r="C49" s="110">
        <f>'Fixed Equip'!K$7</f>
        <v>7755</v>
      </c>
      <c r="D49" s="110" t="str">
        <f>IF(ISBLANK('Fixed Equip'!L$7),"",'Fixed Equip'!L$7)</f>
        <v/>
      </c>
      <c r="E49" s="18">
        <v>20</v>
      </c>
      <c r="F49" s="18" t="str">
        <f>IF(ISBLANK('Fixed Equip'!K$30),"new_ID",start)</f>
        <v>new_ID</v>
      </c>
      <c r="G49" s="111" t="s">
        <v>123</v>
      </c>
    </row>
    <row r="50" spans="1:7" x14ac:dyDescent="0.2">
      <c r="A50" s="18">
        <f t="shared" si="1"/>
        <v>0</v>
      </c>
      <c r="B50" s="18">
        <f>O1</f>
        <v>2024</v>
      </c>
      <c r="C50" s="110">
        <f>'Fixed Equip'!K$8</f>
        <v>7756</v>
      </c>
      <c r="D50" s="110" t="str">
        <f>IF(ISBLANK('Fixed Equip'!L$8),"",'Fixed Equip'!L$8)</f>
        <v/>
      </c>
      <c r="E50" s="18">
        <v>20</v>
      </c>
      <c r="F50" s="18" t="str">
        <f>IF(ISBLANK('Fixed Equip'!K$30),"new_ID",start)</f>
        <v>new_ID</v>
      </c>
      <c r="G50" s="111" t="s">
        <v>123</v>
      </c>
    </row>
    <row r="51" spans="1:7" x14ac:dyDescent="0.2">
      <c r="A51" s="18">
        <f t="shared" si="1"/>
        <v>0</v>
      </c>
      <c r="B51" s="18">
        <f>O1</f>
        <v>2024</v>
      </c>
      <c r="C51" s="110">
        <f>'Fixed Equip'!K$9</f>
        <v>7757</v>
      </c>
      <c r="D51" s="110" t="str">
        <f>IF(ISBLANK('Fixed Equip'!L$9),"",'Fixed Equip'!L$9)</f>
        <v/>
      </c>
      <c r="E51" s="18">
        <v>20</v>
      </c>
      <c r="F51" s="18" t="str">
        <f>IF(ISBLANK('Fixed Equip'!K$30),"new_ID",start)</f>
        <v>new_ID</v>
      </c>
      <c r="G51" s="111" t="s">
        <v>123</v>
      </c>
    </row>
    <row r="52" spans="1:7" x14ac:dyDescent="0.2">
      <c r="A52" s="18">
        <f t="shared" si="1"/>
        <v>0</v>
      </c>
      <c r="B52" s="18">
        <f>O1</f>
        <v>2024</v>
      </c>
      <c r="C52" s="110">
        <f>'Fixed Equip'!K$10</f>
        <v>7758</v>
      </c>
      <c r="D52" s="110" t="str">
        <f>IF(ISBLANK('Fixed Equip'!L$10),"",'Fixed Equip'!L$10)</f>
        <v/>
      </c>
      <c r="E52" s="18">
        <v>20</v>
      </c>
      <c r="F52" s="18" t="str">
        <f>IF(ISBLANK('Fixed Equip'!K$30),"new_ID",start)</f>
        <v>new_ID</v>
      </c>
      <c r="G52" s="111" t="s">
        <v>123</v>
      </c>
    </row>
    <row r="53" spans="1:7" x14ac:dyDescent="0.2">
      <c r="A53" s="18">
        <f t="shared" si="1"/>
        <v>0</v>
      </c>
      <c r="B53" s="18">
        <f>O1</f>
        <v>2024</v>
      </c>
      <c r="C53" s="110">
        <f>'Fixed Equip'!K$11</f>
        <v>7759</v>
      </c>
      <c r="D53" s="110" t="str">
        <f>IF(ISBLANK('Fixed Equip'!L$11),"",'Fixed Equip'!L$11)</f>
        <v/>
      </c>
      <c r="E53" s="18">
        <v>20</v>
      </c>
      <c r="F53" s="18" t="str">
        <f>IF(ISBLANK('Fixed Equip'!K$30),"new_ID",start)</f>
        <v>new_ID</v>
      </c>
      <c r="G53" s="111" t="s">
        <v>123</v>
      </c>
    </row>
    <row r="54" spans="1:7" x14ac:dyDescent="0.2">
      <c r="A54" s="18">
        <f t="shared" si="1"/>
        <v>0</v>
      </c>
      <c r="B54" s="18">
        <f>O1</f>
        <v>2024</v>
      </c>
      <c r="C54" s="110">
        <f>'Fixed Equip'!K$12</f>
        <v>7760</v>
      </c>
      <c r="D54" s="110" t="str">
        <f>IF(ISBLANK('Fixed Equip'!L$12),"",'Fixed Equip'!L$12)</f>
        <v/>
      </c>
      <c r="E54" s="18">
        <v>20</v>
      </c>
      <c r="F54" s="18" t="str">
        <f>IF(ISBLANK('Fixed Equip'!K$30),"new_ID",start)</f>
        <v>new_ID</v>
      </c>
      <c r="G54" s="111" t="s">
        <v>123</v>
      </c>
    </row>
    <row r="55" spans="1:7" x14ac:dyDescent="0.2">
      <c r="A55" s="18">
        <f t="shared" si="1"/>
        <v>0</v>
      </c>
      <c r="B55" s="18">
        <f>O1</f>
        <v>2024</v>
      </c>
      <c r="C55" s="110">
        <f>'Fixed Equip'!K$13</f>
        <v>7761</v>
      </c>
      <c r="D55" s="110" t="str">
        <f>IF(ISBLANK('Fixed Equip'!L$13),"",'Fixed Equip'!L$13)</f>
        <v/>
      </c>
      <c r="E55" s="18">
        <v>20</v>
      </c>
      <c r="F55" s="18" t="str">
        <f>IF(ISBLANK('Fixed Equip'!K$30),"new_ID",start)</f>
        <v>new_ID</v>
      </c>
      <c r="G55" s="111" t="s">
        <v>123</v>
      </c>
    </row>
    <row r="56" spans="1:7" x14ac:dyDescent="0.2">
      <c r="A56" s="18">
        <f t="shared" si="1"/>
        <v>0</v>
      </c>
      <c r="B56" s="18">
        <f>O1</f>
        <v>2024</v>
      </c>
      <c r="C56" s="110">
        <f>'Fixed Equip'!K$14</f>
        <v>7762</v>
      </c>
      <c r="D56" s="110" t="str">
        <f>IF(ISBLANK('Fixed Equip'!L$14),"",'Fixed Equip'!L$14)</f>
        <v/>
      </c>
      <c r="E56" s="18">
        <v>20</v>
      </c>
      <c r="F56" s="18" t="str">
        <f>IF(ISBLANK('Fixed Equip'!K$30),"new_ID",start)</f>
        <v>new_ID</v>
      </c>
      <c r="G56" s="111" t="s">
        <v>123</v>
      </c>
    </row>
    <row r="57" spans="1:7" x14ac:dyDescent="0.2">
      <c r="A57" s="18">
        <f t="shared" si="1"/>
        <v>0</v>
      </c>
      <c r="B57" s="18">
        <f>O1</f>
        <v>2024</v>
      </c>
      <c r="C57" s="110">
        <f>'Fixed Equip'!K$15</f>
        <v>7763</v>
      </c>
      <c r="D57" s="456" t="str">
        <f>IF(OR('Fixed Equip'!L$15=0,ISBLANK('Fixed Equip'!L$15)),"",'Fixed Equip'!L$15)</f>
        <v/>
      </c>
      <c r="E57" s="18">
        <v>20</v>
      </c>
      <c r="F57" s="18" t="str">
        <f>IF(ISBLANK('Fixed Equip'!K$30),"new_ID",start)</f>
        <v>new_ID</v>
      </c>
      <c r="G57" s="111" t="s">
        <v>123</v>
      </c>
    </row>
    <row r="58" spans="1:7" x14ac:dyDescent="0.2">
      <c r="A58" s="18">
        <f t="shared" si="1"/>
        <v>0</v>
      </c>
      <c r="B58" s="18">
        <f>O1</f>
        <v>2024</v>
      </c>
      <c r="C58" s="110">
        <f>'Fixed Equip'!K$16</f>
        <v>7764</v>
      </c>
      <c r="D58" s="110" t="str">
        <f>IF(ISBLANK('Fixed Equip'!L$16),"",'Fixed Equip'!L$16)</f>
        <v/>
      </c>
      <c r="E58" s="18">
        <v>20</v>
      </c>
      <c r="F58" s="18" t="str">
        <f>IF(ISBLANK('Fixed Equip'!K$30),"new_ID",start)</f>
        <v>new_ID</v>
      </c>
      <c r="G58" s="111" t="s">
        <v>123</v>
      </c>
    </row>
    <row r="59" spans="1:7" hidden="1" x14ac:dyDescent="0.2">
      <c r="C59" s="110"/>
      <c r="D59" s="110"/>
      <c r="G59" s="111" t="s">
        <v>123</v>
      </c>
    </row>
    <row r="60" spans="1:7" x14ac:dyDescent="0.2">
      <c r="A60" s="18">
        <f t="shared" si="1"/>
        <v>0</v>
      </c>
      <c r="B60" s="18">
        <f>O1</f>
        <v>2024</v>
      </c>
      <c r="C60" s="110">
        <f>'Fixed Equip'!K$18</f>
        <v>7766</v>
      </c>
      <c r="D60" s="110" t="str">
        <f>IF(ISBLANK('Fixed Equip'!L$18),"",'Fixed Equip'!L$18)</f>
        <v/>
      </c>
      <c r="E60" s="18">
        <v>20</v>
      </c>
      <c r="F60" s="18" t="str">
        <f>IF(ISBLANK('Fixed Equip'!K$30),"new_ID",start)</f>
        <v>new_ID</v>
      </c>
      <c r="G60" s="111" t="s">
        <v>123</v>
      </c>
    </row>
    <row r="61" spans="1:7" x14ac:dyDescent="0.2">
      <c r="A61" s="18">
        <f t="shared" si="1"/>
        <v>0</v>
      </c>
      <c r="B61" s="18">
        <f>O1</f>
        <v>2024</v>
      </c>
      <c r="C61" s="110">
        <f>'Fixed Equip'!K$19</f>
        <v>7767</v>
      </c>
      <c r="D61" s="456" t="str">
        <f>IF(OR('Fixed Equip'!L$19=0,ISBLANK('Fixed Equip'!L$19)),"",'Fixed Equip'!L$19)</f>
        <v/>
      </c>
      <c r="E61" s="18">
        <v>20</v>
      </c>
      <c r="F61" s="18" t="str">
        <f>IF(ISBLANK('Fixed Equip'!K$30),"new_ID",start)</f>
        <v>new_ID</v>
      </c>
      <c r="G61" s="111" t="s">
        <v>123</v>
      </c>
    </row>
    <row r="62" spans="1:7" x14ac:dyDescent="0.2">
      <c r="A62" s="18">
        <f t="shared" si="1"/>
        <v>0</v>
      </c>
      <c r="B62" s="18">
        <f>O1</f>
        <v>2024</v>
      </c>
      <c r="C62" s="110">
        <f>'Fixed Equip'!N$5</f>
        <v>7768</v>
      </c>
      <c r="D62" s="110" t="str">
        <f>IF(ISBLANK('Fixed Equip'!O$5),"",'Fixed Equip'!O$5)</f>
        <v/>
      </c>
      <c r="E62" s="18">
        <v>20</v>
      </c>
      <c r="F62" s="18" t="str">
        <f>IF(ISBLANK('Fixed Equip'!N$30),"new_ID",start)</f>
        <v>new_ID</v>
      </c>
      <c r="G62" s="118" t="s">
        <v>123</v>
      </c>
    </row>
    <row r="63" spans="1:7" x14ac:dyDescent="0.2">
      <c r="A63" s="18">
        <f t="shared" si="1"/>
        <v>0</v>
      </c>
      <c r="B63" s="18">
        <f>O1</f>
        <v>2024</v>
      </c>
      <c r="C63" s="110">
        <f>'Fixed Equip'!N$6</f>
        <v>7769</v>
      </c>
      <c r="D63" s="110" t="str">
        <f>IF(ISBLANK('Fixed Equip'!O$6),"",'Fixed Equip'!O$6)</f>
        <v/>
      </c>
      <c r="E63" s="18">
        <v>20</v>
      </c>
      <c r="F63" s="18" t="str">
        <f>IF(ISBLANK('Fixed Equip'!N$30),"new_ID",start)</f>
        <v>new_ID</v>
      </c>
      <c r="G63" s="111" t="s">
        <v>123</v>
      </c>
    </row>
    <row r="64" spans="1:7" x14ac:dyDescent="0.2">
      <c r="A64" s="18">
        <f t="shared" si="1"/>
        <v>0</v>
      </c>
      <c r="B64" s="18">
        <f>O1</f>
        <v>2024</v>
      </c>
      <c r="C64" s="110">
        <f>'Fixed Equip'!N$7</f>
        <v>7770</v>
      </c>
      <c r="D64" s="110" t="str">
        <f>IF(ISBLANK('Fixed Equip'!O$7),"",'Fixed Equip'!O$7)</f>
        <v/>
      </c>
      <c r="E64" s="18">
        <v>20</v>
      </c>
      <c r="F64" s="18" t="str">
        <f>IF(ISBLANK('Fixed Equip'!N$30),"new_ID",start)</f>
        <v>new_ID</v>
      </c>
      <c r="G64" s="111" t="s">
        <v>123</v>
      </c>
    </row>
    <row r="65" spans="1:7" x14ac:dyDescent="0.2">
      <c r="A65" s="18">
        <f t="shared" si="1"/>
        <v>0</v>
      </c>
      <c r="B65" s="18">
        <f>O1</f>
        <v>2024</v>
      </c>
      <c r="C65" s="110">
        <f>'Fixed Equip'!N$8</f>
        <v>7771</v>
      </c>
      <c r="D65" s="110" t="str">
        <f>IF(ISBLANK('Fixed Equip'!O$8),"",'Fixed Equip'!O$8)</f>
        <v/>
      </c>
      <c r="E65" s="18">
        <v>20</v>
      </c>
      <c r="F65" s="18" t="str">
        <f>IF(ISBLANK('Fixed Equip'!N$30),"new_ID",start)</f>
        <v>new_ID</v>
      </c>
      <c r="G65" s="111" t="s">
        <v>123</v>
      </c>
    </row>
    <row r="66" spans="1:7" x14ac:dyDescent="0.2">
      <c r="A66" s="18">
        <f t="shared" si="1"/>
        <v>0</v>
      </c>
      <c r="B66" s="18">
        <f>O1</f>
        <v>2024</v>
      </c>
      <c r="C66" s="110">
        <f>'Fixed Equip'!N$9</f>
        <v>7772</v>
      </c>
      <c r="D66" s="110" t="str">
        <f>IF(ISBLANK('Fixed Equip'!O$9),"",'Fixed Equip'!O$9)</f>
        <v/>
      </c>
      <c r="E66" s="18">
        <v>20</v>
      </c>
      <c r="F66" s="18" t="str">
        <f>IF(ISBLANK('Fixed Equip'!N$30),"new_ID",start)</f>
        <v>new_ID</v>
      </c>
      <c r="G66" s="111" t="s">
        <v>123</v>
      </c>
    </row>
    <row r="67" spans="1:7" x14ac:dyDescent="0.2">
      <c r="A67" s="18">
        <f t="shared" si="1"/>
        <v>0</v>
      </c>
      <c r="B67" s="18">
        <f>O1</f>
        <v>2024</v>
      </c>
      <c r="C67" s="110">
        <f>'Fixed Equip'!N$10</f>
        <v>7773</v>
      </c>
      <c r="D67" s="110" t="str">
        <f>IF(ISBLANK('Fixed Equip'!O$10),"",'Fixed Equip'!O$10)</f>
        <v/>
      </c>
      <c r="E67" s="18">
        <v>20</v>
      </c>
      <c r="F67" s="18" t="str">
        <f>IF(ISBLANK('Fixed Equip'!N$30),"new_ID",start)</f>
        <v>new_ID</v>
      </c>
      <c r="G67" s="111" t="s">
        <v>123</v>
      </c>
    </row>
    <row r="68" spans="1:7" x14ac:dyDescent="0.2">
      <c r="A68" s="18">
        <f t="shared" si="1"/>
        <v>0</v>
      </c>
      <c r="B68" s="18">
        <f>O1</f>
        <v>2024</v>
      </c>
      <c r="C68" s="110">
        <f>'Fixed Equip'!N$11</f>
        <v>7774</v>
      </c>
      <c r="D68" s="110" t="str">
        <f>IF(ISBLANK('Fixed Equip'!O$11),"",'Fixed Equip'!O$11)</f>
        <v/>
      </c>
      <c r="E68" s="18">
        <v>20</v>
      </c>
      <c r="F68" s="18" t="str">
        <f>IF(ISBLANK('Fixed Equip'!N$30),"new_ID",start)</f>
        <v>new_ID</v>
      </c>
      <c r="G68" s="111" t="s">
        <v>123</v>
      </c>
    </row>
    <row r="69" spans="1:7" x14ac:dyDescent="0.2">
      <c r="A69" s="18">
        <f t="shared" si="1"/>
        <v>0</v>
      </c>
      <c r="B69" s="18">
        <f>O1</f>
        <v>2024</v>
      </c>
      <c r="C69" s="110">
        <f>'Fixed Equip'!N$12</f>
        <v>7775</v>
      </c>
      <c r="D69" s="110" t="str">
        <f>IF(ISBLANK('Fixed Equip'!O$12),"",'Fixed Equip'!O$12)</f>
        <v/>
      </c>
      <c r="E69" s="18">
        <v>20</v>
      </c>
      <c r="F69" s="18" t="str">
        <f>IF(ISBLANK('Fixed Equip'!N$30),"new_ID",start)</f>
        <v>new_ID</v>
      </c>
      <c r="G69" s="111" t="s">
        <v>123</v>
      </c>
    </row>
    <row r="70" spans="1:7" x14ac:dyDescent="0.2">
      <c r="A70" s="18">
        <f t="shared" ref="A70:A97" si="2">start</f>
        <v>0</v>
      </c>
      <c r="B70" s="18">
        <f>O1</f>
        <v>2024</v>
      </c>
      <c r="C70" s="110">
        <f>'Fixed Equip'!N$13</f>
        <v>7776</v>
      </c>
      <c r="D70" s="110" t="str">
        <f>IF(ISBLANK('Fixed Equip'!O$13),"",'Fixed Equip'!O$13)</f>
        <v/>
      </c>
      <c r="E70" s="18">
        <v>20</v>
      </c>
      <c r="F70" s="18" t="str">
        <f>IF(ISBLANK('Fixed Equip'!N$30),"new_ID",start)</f>
        <v>new_ID</v>
      </c>
      <c r="G70" s="111" t="s">
        <v>123</v>
      </c>
    </row>
    <row r="71" spans="1:7" x14ac:dyDescent="0.2">
      <c r="A71" s="18">
        <f t="shared" si="2"/>
        <v>0</v>
      </c>
      <c r="B71" s="18">
        <f>O1</f>
        <v>2024</v>
      </c>
      <c r="C71" s="110">
        <f>'Fixed Equip'!N$14</f>
        <v>7777</v>
      </c>
      <c r="D71" s="110" t="str">
        <f>IF(ISBLANK('Fixed Equip'!O$14),"",'Fixed Equip'!O$14)</f>
        <v/>
      </c>
      <c r="E71" s="18">
        <v>20</v>
      </c>
      <c r="F71" s="18" t="str">
        <f>IF(ISBLANK('Fixed Equip'!N$30),"new_ID",start)</f>
        <v>new_ID</v>
      </c>
      <c r="G71" s="111" t="s">
        <v>123</v>
      </c>
    </row>
    <row r="72" spans="1:7" x14ac:dyDescent="0.2">
      <c r="A72" s="18">
        <f t="shared" si="2"/>
        <v>0</v>
      </c>
      <c r="B72" s="18">
        <f>O1</f>
        <v>2024</v>
      </c>
      <c r="C72" s="110">
        <f>'Fixed Equip'!N$15</f>
        <v>7778</v>
      </c>
      <c r="D72" s="456" t="str">
        <f>IF(OR('Fixed Equip'!O$15=0,ISBLANK('Fixed Equip'!O$15)),"",'Fixed Equip'!O$15)</f>
        <v/>
      </c>
      <c r="E72" s="18">
        <v>20</v>
      </c>
      <c r="F72" s="18" t="str">
        <f>IF(ISBLANK('Fixed Equip'!N$30),"new_ID",start)</f>
        <v>new_ID</v>
      </c>
      <c r="G72" s="111" t="s">
        <v>123</v>
      </c>
    </row>
    <row r="73" spans="1:7" x14ac:dyDescent="0.2">
      <c r="A73" s="18">
        <f t="shared" si="2"/>
        <v>0</v>
      </c>
      <c r="B73" s="18">
        <f>O1</f>
        <v>2024</v>
      </c>
      <c r="C73" s="110">
        <f>'Fixed Equip'!N$16</f>
        <v>7779</v>
      </c>
      <c r="D73" s="110" t="str">
        <f>IF(ISBLANK('Fixed Equip'!O$16),"",'Fixed Equip'!O$16)</f>
        <v/>
      </c>
      <c r="E73" s="18">
        <v>20</v>
      </c>
      <c r="F73" s="18" t="str">
        <f>IF(ISBLANK('Fixed Equip'!N$30),"new_ID",start)</f>
        <v>new_ID</v>
      </c>
      <c r="G73" s="111" t="s">
        <v>123</v>
      </c>
    </row>
    <row r="74" spans="1:7" hidden="1" x14ac:dyDescent="0.2">
      <c r="C74" s="110"/>
      <c r="D74" s="110"/>
      <c r="G74" s="111" t="s">
        <v>123</v>
      </c>
    </row>
    <row r="75" spans="1:7" x14ac:dyDescent="0.2">
      <c r="A75" s="18">
        <f t="shared" si="2"/>
        <v>0</v>
      </c>
      <c r="B75" s="18">
        <f>O1</f>
        <v>2024</v>
      </c>
      <c r="C75" s="110">
        <f>'Fixed Equip'!N$18</f>
        <v>7781</v>
      </c>
      <c r="D75" s="110" t="str">
        <f>IF(ISBLANK('Fixed Equip'!O$18),"",'Fixed Equip'!O$18)</f>
        <v/>
      </c>
      <c r="E75" s="18">
        <v>20</v>
      </c>
      <c r="F75" s="18" t="str">
        <f>IF(ISBLANK('Fixed Equip'!N$30),"new_ID",start)</f>
        <v>new_ID</v>
      </c>
      <c r="G75" s="111" t="s">
        <v>123</v>
      </c>
    </row>
    <row r="76" spans="1:7" x14ac:dyDescent="0.2">
      <c r="A76" s="18">
        <f t="shared" si="2"/>
        <v>0</v>
      </c>
      <c r="B76" s="18">
        <f>O1</f>
        <v>2024</v>
      </c>
      <c r="C76" s="110">
        <f>'Fixed Equip'!N$19</f>
        <v>7782</v>
      </c>
      <c r="D76" s="456" t="str">
        <f>IF(OR('Fixed Equip'!O$19=0,ISBLANK('Fixed Equip'!O$19)),"",'Fixed Equip'!O$19)</f>
        <v/>
      </c>
      <c r="E76" s="18">
        <v>20</v>
      </c>
      <c r="F76" s="18" t="str">
        <f>IF(ISBLANK('Fixed Equip'!N$30),"new_ID",start)</f>
        <v>new_ID</v>
      </c>
      <c r="G76" s="111" t="s">
        <v>123</v>
      </c>
    </row>
    <row r="77" spans="1:7" x14ac:dyDescent="0.2">
      <c r="A77" s="18">
        <f t="shared" si="2"/>
        <v>0</v>
      </c>
      <c r="B77" s="18">
        <f>O1</f>
        <v>2024</v>
      </c>
      <c r="C77" s="110">
        <f>'Fixed Equip'!Q$5</f>
        <v>7783</v>
      </c>
      <c r="D77" s="110" t="str">
        <f>IF(ISBLANK('Fixed Equip'!R$5),"",'Fixed Equip'!R$5)</f>
        <v/>
      </c>
      <c r="E77" s="18">
        <v>20</v>
      </c>
      <c r="F77" s="18" t="str">
        <f>IF(ISBLANK('Fixed Equip'!Q$30),"new_ID",start)</f>
        <v>new_ID</v>
      </c>
      <c r="G77" s="118" t="s">
        <v>123</v>
      </c>
    </row>
    <row r="78" spans="1:7" x14ac:dyDescent="0.2">
      <c r="A78" s="18">
        <f t="shared" si="2"/>
        <v>0</v>
      </c>
      <c r="B78" s="18">
        <f>O1</f>
        <v>2024</v>
      </c>
      <c r="C78" s="110">
        <f>'Fixed Equip'!Q$6</f>
        <v>7784</v>
      </c>
      <c r="D78" s="110" t="str">
        <f>IF(ISBLANK('Fixed Equip'!R$6),"",'Fixed Equip'!R$6)</f>
        <v/>
      </c>
      <c r="E78" s="18">
        <v>20</v>
      </c>
      <c r="F78" s="18" t="str">
        <f>IF(ISBLANK('Fixed Equip'!Q$30),"new_ID",start)</f>
        <v>new_ID</v>
      </c>
      <c r="G78" s="111" t="s">
        <v>123</v>
      </c>
    </row>
    <row r="79" spans="1:7" x14ac:dyDescent="0.2">
      <c r="A79" s="18">
        <f t="shared" si="2"/>
        <v>0</v>
      </c>
      <c r="B79" s="18">
        <f>O1</f>
        <v>2024</v>
      </c>
      <c r="C79" s="110">
        <f>'Fixed Equip'!Q$7</f>
        <v>7785</v>
      </c>
      <c r="D79" s="110" t="str">
        <f>IF(ISBLANK('Fixed Equip'!R$7),"",'Fixed Equip'!R$7)</f>
        <v/>
      </c>
      <c r="E79" s="18">
        <v>20</v>
      </c>
      <c r="F79" s="18" t="str">
        <f>IF(ISBLANK('Fixed Equip'!Q$30),"new_ID",start)</f>
        <v>new_ID</v>
      </c>
      <c r="G79" s="111" t="s">
        <v>123</v>
      </c>
    </row>
    <row r="80" spans="1:7" x14ac:dyDescent="0.2">
      <c r="A80" s="18">
        <f t="shared" si="2"/>
        <v>0</v>
      </c>
      <c r="B80" s="18">
        <f>O1</f>
        <v>2024</v>
      </c>
      <c r="C80" s="110">
        <f>'Fixed Equip'!Q$8</f>
        <v>7786</v>
      </c>
      <c r="D80" s="110" t="str">
        <f>IF(ISBLANK('Fixed Equip'!R$8),"",'Fixed Equip'!R$8)</f>
        <v/>
      </c>
      <c r="E80" s="18">
        <v>20</v>
      </c>
      <c r="F80" s="18" t="str">
        <f>IF(ISBLANK('Fixed Equip'!Q$30),"new_ID",start)</f>
        <v>new_ID</v>
      </c>
      <c r="G80" s="111" t="s">
        <v>123</v>
      </c>
    </row>
    <row r="81" spans="1:7" x14ac:dyDescent="0.2">
      <c r="A81" s="18">
        <f t="shared" si="2"/>
        <v>0</v>
      </c>
      <c r="B81" s="18">
        <f>O1</f>
        <v>2024</v>
      </c>
      <c r="C81" s="110">
        <f>'Fixed Equip'!Q$9</f>
        <v>7787</v>
      </c>
      <c r="D81" s="110" t="str">
        <f>IF(ISBLANK('Fixed Equip'!R$9),"",'Fixed Equip'!R$9)</f>
        <v/>
      </c>
      <c r="E81" s="18">
        <v>20</v>
      </c>
      <c r="F81" s="18" t="str">
        <f>IF(ISBLANK('Fixed Equip'!Q$30),"new_ID",start)</f>
        <v>new_ID</v>
      </c>
      <c r="G81" s="111" t="s">
        <v>123</v>
      </c>
    </row>
    <row r="82" spans="1:7" x14ac:dyDescent="0.2">
      <c r="A82" s="18">
        <f t="shared" si="2"/>
        <v>0</v>
      </c>
      <c r="B82" s="18">
        <f>O1</f>
        <v>2024</v>
      </c>
      <c r="C82" s="110">
        <f>'Fixed Equip'!Q$10</f>
        <v>7788</v>
      </c>
      <c r="D82" s="110" t="str">
        <f>IF(ISBLANK('Fixed Equip'!R$10),"",'Fixed Equip'!R$10)</f>
        <v/>
      </c>
      <c r="E82" s="18">
        <v>20</v>
      </c>
      <c r="F82" s="18" t="str">
        <f>IF(ISBLANK('Fixed Equip'!Q$30),"new_ID",start)</f>
        <v>new_ID</v>
      </c>
      <c r="G82" s="111" t="s">
        <v>123</v>
      </c>
    </row>
    <row r="83" spans="1:7" x14ac:dyDescent="0.2">
      <c r="A83" s="18">
        <f t="shared" si="2"/>
        <v>0</v>
      </c>
      <c r="B83" s="18">
        <f>O1</f>
        <v>2024</v>
      </c>
      <c r="C83" s="110">
        <f>'Fixed Equip'!Q$11</f>
        <v>7789</v>
      </c>
      <c r="D83" s="110" t="str">
        <f>IF(ISBLANK('Fixed Equip'!R$11),"",'Fixed Equip'!R$11)</f>
        <v/>
      </c>
      <c r="E83" s="18">
        <v>20</v>
      </c>
      <c r="F83" s="18" t="str">
        <f>IF(ISBLANK('Fixed Equip'!Q$30),"new_ID",start)</f>
        <v>new_ID</v>
      </c>
      <c r="G83" s="111" t="s">
        <v>123</v>
      </c>
    </row>
    <row r="84" spans="1:7" x14ac:dyDescent="0.2">
      <c r="A84" s="18">
        <f t="shared" si="2"/>
        <v>0</v>
      </c>
      <c r="B84" s="18">
        <f>O1</f>
        <v>2024</v>
      </c>
      <c r="C84" s="110">
        <f>'Fixed Equip'!Q$12</f>
        <v>7790</v>
      </c>
      <c r="D84" s="110" t="str">
        <f>IF(ISBLANK('Fixed Equip'!R$12),"",'Fixed Equip'!R$12)</f>
        <v/>
      </c>
      <c r="E84" s="18">
        <v>20</v>
      </c>
      <c r="F84" s="18" t="str">
        <f>IF(ISBLANK('Fixed Equip'!Q$30),"new_ID",start)</f>
        <v>new_ID</v>
      </c>
      <c r="G84" s="111" t="s">
        <v>123</v>
      </c>
    </row>
    <row r="85" spans="1:7" x14ac:dyDescent="0.2">
      <c r="A85" s="18">
        <f t="shared" si="2"/>
        <v>0</v>
      </c>
      <c r="B85" s="18">
        <f>O1</f>
        <v>2024</v>
      </c>
      <c r="C85" s="110">
        <f>'Fixed Equip'!Q$13</f>
        <v>7791</v>
      </c>
      <c r="D85" s="110" t="str">
        <f>IF(ISBLANK('Fixed Equip'!R$13),"",'Fixed Equip'!R$13)</f>
        <v/>
      </c>
      <c r="E85" s="18">
        <v>20</v>
      </c>
      <c r="F85" s="18" t="str">
        <f>IF(ISBLANK('Fixed Equip'!Q$30),"new_ID",start)</f>
        <v>new_ID</v>
      </c>
      <c r="G85" s="111" t="s">
        <v>123</v>
      </c>
    </row>
    <row r="86" spans="1:7" x14ac:dyDescent="0.2">
      <c r="A86" s="18">
        <f t="shared" si="2"/>
        <v>0</v>
      </c>
      <c r="B86" s="18">
        <f>O1</f>
        <v>2024</v>
      </c>
      <c r="C86" s="110">
        <f>'Fixed Equip'!Q$14</f>
        <v>7792</v>
      </c>
      <c r="D86" s="110" t="str">
        <f>IF(ISBLANK('Fixed Equip'!R$14),"",'Fixed Equip'!R$14)</f>
        <v/>
      </c>
      <c r="E86" s="18">
        <v>20</v>
      </c>
      <c r="F86" s="18" t="str">
        <f>IF(ISBLANK('Fixed Equip'!Q$30),"new_ID",start)</f>
        <v>new_ID</v>
      </c>
      <c r="G86" s="111" t="s">
        <v>123</v>
      </c>
    </row>
    <row r="87" spans="1:7" x14ac:dyDescent="0.2">
      <c r="A87" s="18">
        <f t="shared" si="2"/>
        <v>0</v>
      </c>
      <c r="B87" s="18">
        <f>O1</f>
        <v>2024</v>
      </c>
      <c r="C87" s="110">
        <f>'Fixed Equip'!Q$15</f>
        <v>7793</v>
      </c>
      <c r="D87" s="456" t="str">
        <f>IF(OR('Fixed Equip'!R$15=0,ISBLANK('Fixed Equip'!R$15)),"",'Fixed Equip'!R$15)</f>
        <v/>
      </c>
      <c r="E87" s="18">
        <v>20</v>
      </c>
      <c r="F87" s="18" t="str">
        <f>IF(ISBLANK('Fixed Equip'!Q$30),"new_ID",start)</f>
        <v>new_ID</v>
      </c>
      <c r="G87" s="111" t="s">
        <v>123</v>
      </c>
    </row>
    <row r="88" spans="1:7" x14ac:dyDescent="0.2">
      <c r="A88" s="18">
        <f t="shared" si="2"/>
        <v>0</v>
      </c>
      <c r="B88" s="18">
        <f>O1</f>
        <v>2024</v>
      </c>
      <c r="C88" s="110">
        <f>'Fixed Equip'!Q$16</f>
        <v>7794</v>
      </c>
      <c r="D88" s="110" t="str">
        <f>IF(ISBLANK('Fixed Equip'!R$16),"",'Fixed Equip'!R$16)</f>
        <v/>
      </c>
      <c r="E88" s="18">
        <v>20</v>
      </c>
      <c r="F88" s="18" t="str">
        <f>IF(ISBLANK('Fixed Equip'!Q$30),"new_ID",start)</f>
        <v>new_ID</v>
      </c>
      <c r="G88" s="111" t="s">
        <v>123</v>
      </c>
    </row>
    <row r="89" spans="1:7" hidden="1" x14ac:dyDescent="0.2">
      <c r="C89" s="110"/>
      <c r="D89" s="110"/>
      <c r="G89" s="111" t="s">
        <v>123</v>
      </c>
    </row>
    <row r="90" spans="1:7" x14ac:dyDescent="0.2">
      <c r="A90" s="18">
        <f t="shared" si="2"/>
        <v>0</v>
      </c>
      <c r="B90" s="18">
        <f>O1</f>
        <v>2024</v>
      </c>
      <c r="C90" s="110">
        <f>'Fixed Equip'!Q$18</f>
        <v>7796</v>
      </c>
      <c r="D90" s="110" t="str">
        <f>IF(ISBLANK('Fixed Equip'!R$18),"",'Fixed Equip'!R$18)</f>
        <v/>
      </c>
      <c r="E90" s="18">
        <v>20</v>
      </c>
      <c r="F90" s="18" t="str">
        <f>IF(ISBLANK('Fixed Equip'!Q$30),"new_ID",start)</f>
        <v>new_ID</v>
      </c>
      <c r="G90" s="111" t="s">
        <v>123</v>
      </c>
    </row>
    <row r="91" spans="1:7" x14ac:dyDescent="0.2">
      <c r="A91" s="18">
        <f t="shared" si="2"/>
        <v>0</v>
      </c>
      <c r="B91" s="18">
        <f>O1</f>
        <v>2024</v>
      </c>
      <c r="C91" s="110">
        <f>'Fixed Equip'!Q$19</f>
        <v>7797</v>
      </c>
      <c r="D91" s="456" t="str">
        <f>IF(OR('Fixed Equip'!R$19=0,ISBLANK('Fixed Equip'!R$19)),"",'Fixed Equip'!R$19)</f>
        <v/>
      </c>
      <c r="E91" s="18">
        <v>20</v>
      </c>
      <c r="F91" s="18" t="str">
        <f>IF(ISBLANK('Fixed Equip'!Q$30),"new_ID",start)</f>
        <v>new_ID</v>
      </c>
      <c r="G91" s="111" t="s">
        <v>123</v>
      </c>
    </row>
    <row r="92" spans="1:7" x14ac:dyDescent="0.2">
      <c r="A92" s="18">
        <f t="shared" si="2"/>
        <v>0</v>
      </c>
      <c r="B92" s="18">
        <f>O1</f>
        <v>2024</v>
      </c>
      <c r="C92" s="110">
        <f>'Fixed Equip'!B$24</f>
        <v>7196</v>
      </c>
      <c r="D92" s="110" t="str">
        <f>IF(ISBLANK('Fixed Equip'!C$24),"",'Fixed Equip'!C$24)</f>
        <v/>
      </c>
      <c r="E92" s="18">
        <v>20</v>
      </c>
      <c r="F92" s="18" t="str">
        <f>IF(ISBLANK('Fixed Equip'!B$30),"new_ID",start)</f>
        <v>new_ID</v>
      </c>
      <c r="G92" s="118" t="s">
        <v>123</v>
      </c>
    </row>
    <row r="93" spans="1:7" x14ac:dyDescent="0.2">
      <c r="A93" s="18">
        <f t="shared" si="2"/>
        <v>0</v>
      </c>
      <c r="B93" s="18">
        <f>O1</f>
        <v>2024</v>
      </c>
      <c r="C93" s="110">
        <f>'Fixed Equip'!E$24</f>
        <v>7200</v>
      </c>
      <c r="D93" s="110" t="str">
        <f>IF(ISBLANK('Fixed Equip'!F$24),"",'Fixed Equip'!F$24)</f>
        <v/>
      </c>
      <c r="E93" s="18">
        <v>20</v>
      </c>
      <c r="F93" s="18" t="str">
        <f>IF(ISBLANK('Fixed Equip'!E$30),"new_ID",start)</f>
        <v>new_ID</v>
      </c>
      <c r="G93" s="118" t="s">
        <v>123</v>
      </c>
    </row>
    <row r="94" spans="1:7" x14ac:dyDescent="0.2">
      <c r="A94" s="18">
        <f t="shared" si="2"/>
        <v>0</v>
      </c>
      <c r="B94" s="18">
        <f>O1</f>
        <v>2024</v>
      </c>
      <c r="C94" s="110">
        <f>'Fixed Equip'!H$24</f>
        <v>7313</v>
      </c>
      <c r="D94" s="110" t="str">
        <f>IF(ISBLANK('Fixed Equip'!I$24),"",'Fixed Equip'!I$24)</f>
        <v/>
      </c>
      <c r="E94" s="18">
        <v>20</v>
      </c>
      <c r="F94" s="18" t="str">
        <f>IF(ISBLANK('Fixed Equip'!H$30),"new_ID",start)</f>
        <v>new_ID</v>
      </c>
      <c r="G94" s="118" t="s">
        <v>123</v>
      </c>
    </row>
    <row r="95" spans="1:7" x14ac:dyDescent="0.2">
      <c r="A95" s="18">
        <f t="shared" si="2"/>
        <v>0</v>
      </c>
      <c r="B95" s="18">
        <f>O1</f>
        <v>2024</v>
      </c>
      <c r="C95" s="110">
        <f>'Fixed Equip'!K$24</f>
        <v>7190</v>
      </c>
      <c r="D95" s="110" t="str">
        <f>IF(ISBLANK('Fixed Equip'!L$24),"",'Fixed Equip'!L$24)</f>
        <v/>
      </c>
      <c r="E95" s="18">
        <v>20</v>
      </c>
      <c r="F95" s="18" t="str">
        <f>IF(ISBLANK('Fixed Equip'!K$30),"new_ID",start)</f>
        <v>new_ID</v>
      </c>
      <c r="G95" s="118" t="s">
        <v>123</v>
      </c>
    </row>
    <row r="96" spans="1:7" x14ac:dyDescent="0.2">
      <c r="A96" s="18">
        <f t="shared" si="2"/>
        <v>0</v>
      </c>
      <c r="B96" s="18">
        <f>O1</f>
        <v>2024</v>
      </c>
      <c r="C96" s="110">
        <f>'Fixed Equip'!N$24</f>
        <v>7320</v>
      </c>
      <c r="D96" s="110" t="str">
        <f>IF(ISBLANK('Fixed Equip'!O$24),"",'Fixed Equip'!O$24)</f>
        <v/>
      </c>
      <c r="E96" s="18">
        <v>20</v>
      </c>
      <c r="F96" s="18" t="str">
        <f>IF(ISBLANK('Fixed Equip'!N$30),"new_ID",start)</f>
        <v>new_ID</v>
      </c>
      <c r="G96" s="118" t="s">
        <v>123</v>
      </c>
    </row>
    <row r="97" spans="1:7" x14ac:dyDescent="0.2">
      <c r="A97" s="18">
        <f t="shared" si="2"/>
        <v>0</v>
      </c>
      <c r="B97" s="18">
        <f>O1</f>
        <v>2024</v>
      </c>
      <c r="C97" s="110">
        <f>'Fixed Equip'!Q$24</f>
        <v>7219</v>
      </c>
      <c r="D97" s="110" t="str">
        <f>IF(ISBLANK('Fixed Equip'!R$24),"",'Fixed Equip'!R$24)</f>
        <v/>
      </c>
      <c r="E97" s="18">
        <v>20</v>
      </c>
      <c r="F97" s="18" t="str">
        <f>IF(ISBLANK('Fixed Equip'!Q$30),"new_ID",start)</f>
        <v>new_ID</v>
      </c>
      <c r="G97" s="118" t="s">
        <v>123</v>
      </c>
    </row>
    <row r="98" spans="1:7" x14ac:dyDescent="0.2">
      <c r="A98" s="18">
        <f>start</f>
        <v>0</v>
      </c>
      <c r="B98" s="18">
        <f>O1</f>
        <v>2024</v>
      </c>
      <c r="C98" s="110">
        <f>'Portable Equip'!B$5</f>
        <v>7804</v>
      </c>
      <c r="D98" s="110" t="str">
        <f>IF(ISBLANK('Portable Equip'!C$5),"",'Portable Equip'!C$5)</f>
        <v/>
      </c>
      <c r="E98" s="18">
        <v>20</v>
      </c>
      <c r="F98" s="18" t="str">
        <f>IF(ISBLANK('Portable Equip'!B$30),"new_ID",start)</f>
        <v>new_ID</v>
      </c>
      <c r="G98" s="117" t="s">
        <v>124</v>
      </c>
    </row>
    <row r="99" spans="1:7" x14ac:dyDescent="0.2">
      <c r="A99" s="18">
        <f>start</f>
        <v>0</v>
      </c>
      <c r="B99" s="18">
        <f>O1</f>
        <v>2024</v>
      </c>
      <c r="C99" s="110">
        <f>'Portable Equip'!B$6</f>
        <v>7805</v>
      </c>
      <c r="D99" s="110" t="str">
        <f>IF(ISBLANK('Portable Equip'!C$6),"",'Portable Equip'!C$6)</f>
        <v/>
      </c>
      <c r="E99" s="18">
        <v>20</v>
      </c>
      <c r="F99" s="18" t="str">
        <f>IF(ISBLANK('Portable Equip'!B$30),"new_ID",start)</f>
        <v>new_ID</v>
      </c>
      <c r="G99" s="111" t="s">
        <v>93</v>
      </c>
    </row>
    <row r="100" spans="1:7" x14ac:dyDescent="0.2">
      <c r="A100" s="18">
        <f>start</f>
        <v>0</v>
      </c>
      <c r="B100" s="18">
        <f>O1</f>
        <v>2024</v>
      </c>
      <c r="C100" s="110">
        <f>'Portable Equip'!B$7</f>
        <v>7806</v>
      </c>
      <c r="D100" s="110" t="str">
        <f>IF(ISBLANK('Portable Equip'!C$7),"",'Portable Equip'!C$7)</f>
        <v/>
      </c>
      <c r="E100" s="18">
        <v>20</v>
      </c>
      <c r="F100" s="18" t="str">
        <f>IF(ISBLANK('Portable Equip'!B$30),"new_ID",start)</f>
        <v>new_ID</v>
      </c>
      <c r="G100" s="111" t="s">
        <v>93</v>
      </c>
    </row>
    <row r="101" spans="1:7" x14ac:dyDescent="0.2">
      <c r="A101" s="18">
        <f>start</f>
        <v>0</v>
      </c>
      <c r="B101" s="18">
        <f>O1</f>
        <v>2024</v>
      </c>
      <c r="C101" s="110">
        <f>'Portable Equip'!B$8</f>
        <v>7807</v>
      </c>
      <c r="D101" s="110" t="str">
        <f>IF(ISBLANK('Portable Equip'!C$8),"",'Portable Equip'!C$8)</f>
        <v/>
      </c>
      <c r="E101" s="18">
        <v>20</v>
      </c>
      <c r="F101" s="18" t="str">
        <f>IF(ISBLANK('Portable Equip'!B$30),"new_ID",start)</f>
        <v>new_ID</v>
      </c>
      <c r="G101" s="111" t="s">
        <v>93</v>
      </c>
    </row>
    <row r="102" spans="1:7" x14ac:dyDescent="0.2">
      <c r="A102" s="18">
        <f t="shared" ref="A102:A165" si="3">start</f>
        <v>0</v>
      </c>
      <c r="B102" s="18">
        <f>O1</f>
        <v>2024</v>
      </c>
      <c r="C102" s="110">
        <f>'Portable Equip'!B$9</f>
        <v>7808</v>
      </c>
      <c r="D102" s="110" t="str">
        <f>IF(ISBLANK('Portable Equip'!C$9),"",'Portable Equip'!C$9)</f>
        <v/>
      </c>
      <c r="E102" s="18">
        <v>20</v>
      </c>
      <c r="F102" s="18" t="str">
        <f>IF(ISBLANK('Portable Equip'!B$30),"new_ID",start)</f>
        <v>new_ID</v>
      </c>
      <c r="G102" s="111" t="s">
        <v>93</v>
      </c>
    </row>
    <row r="103" spans="1:7" x14ac:dyDescent="0.2">
      <c r="A103" s="18">
        <f t="shared" si="3"/>
        <v>0</v>
      </c>
      <c r="B103" s="18">
        <f>O1</f>
        <v>2024</v>
      </c>
      <c r="C103" s="110">
        <f>'Portable Equip'!B$10</f>
        <v>7809</v>
      </c>
      <c r="D103" s="110" t="str">
        <f>IF(ISBLANK('Portable Equip'!C$10),"",'Portable Equip'!C$10)</f>
        <v/>
      </c>
      <c r="E103" s="18">
        <v>20</v>
      </c>
      <c r="F103" s="18" t="str">
        <f>IF(ISBLANK('Portable Equip'!B$30),"new_ID",start)</f>
        <v>new_ID</v>
      </c>
      <c r="G103" s="111" t="s">
        <v>93</v>
      </c>
    </row>
    <row r="104" spans="1:7" x14ac:dyDescent="0.2">
      <c r="A104" s="18">
        <f t="shared" si="3"/>
        <v>0</v>
      </c>
      <c r="B104" s="18">
        <f>O1</f>
        <v>2024</v>
      </c>
      <c r="C104" s="110">
        <f>'Portable Equip'!B$11</f>
        <v>7810</v>
      </c>
      <c r="D104" s="110" t="str">
        <f>IF(ISBLANK('Portable Equip'!C$11),"",'Portable Equip'!C$11)</f>
        <v/>
      </c>
      <c r="E104" s="18">
        <v>20</v>
      </c>
      <c r="F104" s="18" t="str">
        <f>IF(ISBLANK('Portable Equip'!B$30),"new_ID",start)</f>
        <v>new_ID</v>
      </c>
      <c r="G104" s="111" t="s">
        <v>93</v>
      </c>
    </row>
    <row r="105" spans="1:7" x14ac:dyDescent="0.2">
      <c r="A105" s="18">
        <f t="shared" si="3"/>
        <v>0</v>
      </c>
      <c r="B105" s="18">
        <f>O1</f>
        <v>2024</v>
      </c>
      <c r="C105" s="110">
        <f>'Portable Equip'!B$12</f>
        <v>7811</v>
      </c>
      <c r="D105" s="110" t="str">
        <f>IF(ISBLANK('Portable Equip'!C$12),"",'Portable Equip'!C$12)</f>
        <v/>
      </c>
      <c r="E105" s="18">
        <v>20</v>
      </c>
      <c r="F105" s="18" t="str">
        <f>IF(ISBLANK('Portable Equip'!B$30),"new_ID",start)</f>
        <v>new_ID</v>
      </c>
      <c r="G105" s="111" t="s">
        <v>93</v>
      </c>
    </row>
    <row r="106" spans="1:7" x14ac:dyDescent="0.2">
      <c r="A106" s="18">
        <f t="shared" si="3"/>
        <v>0</v>
      </c>
      <c r="B106" s="18">
        <f>O1</f>
        <v>2024</v>
      </c>
      <c r="C106" s="110">
        <f>'Portable Equip'!B$13</f>
        <v>7812</v>
      </c>
      <c r="D106" s="110" t="str">
        <f>IF(ISBLANK('Portable Equip'!C$13),"",'Portable Equip'!C$13)</f>
        <v/>
      </c>
      <c r="E106" s="18">
        <v>20</v>
      </c>
      <c r="F106" s="18" t="str">
        <f>IF(ISBLANK('Portable Equip'!B$30),"new_ID",start)</f>
        <v>new_ID</v>
      </c>
      <c r="G106" s="111" t="s">
        <v>93</v>
      </c>
    </row>
    <row r="107" spans="1:7" x14ac:dyDescent="0.2">
      <c r="A107" s="18">
        <f t="shared" si="3"/>
        <v>0</v>
      </c>
      <c r="B107" s="18">
        <f>O1</f>
        <v>2024</v>
      </c>
      <c r="C107" s="110">
        <f>'Portable Equip'!B$14</f>
        <v>7813</v>
      </c>
      <c r="D107" s="110" t="str">
        <f>IF(ISBLANK('Portable Equip'!C$14),"",'Portable Equip'!C$14)</f>
        <v/>
      </c>
      <c r="E107" s="18">
        <v>20</v>
      </c>
      <c r="F107" s="18" t="str">
        <f>IF(ISBLANK('Portable Equip'!B$30),"new_ID",start)</f>
        <v>new_ID</v>
      </c>
      <c r="G107" s="111" t="s">
        <v>93</v>
      </c>
    </row>
    <row r="108" spans="1:7" x14ac:dyDescent="0.2">
      <c r="A108" s="18">
        <f t="shared" si="3"/>
        <v>0</v>
      </c>
      <c r="B108" s="18">
        <f>O1</f>
        <v>2024</v>
      </c>
      <c r="C108" s="110">
        <f>'Portable Equip'!B$15</f>
        <v>7814</v>
      </c>
      <c r="D108" s="456" t="str">
        <f>IF(OR('Portable Equip'!C$15=0,ISBLANK('Portable Equip'!C$15)),"",'Portable Equip'!C$15)</f>
        <v/>
      </c>
      <c r="E108" s="18">
        <v>20</v>
      </c>
      <c r="F108" s="18" t="str">
        <f>IF(ISBLANK('Portable Equip'!B$30),"new_ID",start)</f>
        <v>new_ID</v>
      </c>
      <c r="G108" s="111" t="s">
        <v>93</v>
      </c>
    </row>
    <row r="109" spans="1:7" x14ac:dyDescent="0.2">
      <c r="A109" s="18">
        <f t="shared" si="3"/>
        <v>0</v>
      </c>
      <c r="B109" s="18">
        <f>O1</f>
        <v>2024</v>
      </c>
      <c r="C109" s="110">
        <f>'Portable Equip'!B$16</f>
        <v>7815</v>
      </c>
      <c r="D109" s="110" t="str">
        <f>IF(ISBLANK('Portable Equip'!C$16),"",'Portable Equip'!C$16)</f>
        <v/>
      </c>
      <c r="E109" s="18">
        <v>20</v>
      </c>
      <c r="F109" s="18" t="str">
        <f>IF(ISBLANK('Portable Equip'!B$30),"new_ID",start)</f>
        <v>new_ID</v>
      </c>
      <c r="G109" s="111" t="s">
        <v>93</v>
      </c>
    </row>
    <row r="110" spans="1:7" hidden="1" x14ac:dyDescent="0.2">
      <c r="C110" s="110"/>
      <c r="D110" s="110"/>
      <c r="G110" s="111" t="s">
        <v>93</v>
      </c>
    </row>
    <row r="111" spans="1:7" x14ac:dyDescent="0.2">
      <c r="A111" s="18">
        <f t="shared" si="3"/>
        <v>0</v>
      </c>
      <c r="B111" s="18">
        <f>O1</f>
        <v>2024</v>
      </c>
      <c r="C111" s="110">
        <f>'Portable Equip'!B$18</f>
        <v>7817</v>
      </c>
      <c r="D111" s="110" t="str">
        <f>IF(ISBLANK('Portable Equip'!C$18),"",'Portable Equip'!C$18)</f>
        <v/>
      </c>
      <c r="E111" s="18">
        <v>20</v>
      </c>
      <c r="F111" s="18" t="str">
        <f>IF(ISBLANK('Portable Equip'!B$30),"new_ID",start)</f>
        <v>new_ID</v>
      </c>
      <c r="G111" s="111" t="s">
        <v>93</v>
      </c>
    </row>
    <row r="112" spans="1:7" x14ac:dyDescent="0.2">
      <c r="A112" s="18">
        <f t="shared" si="3"/>
        <v>0</v>
      </c>
      <c r="B112" s="18">
        <f>O1</f>
        <v>2024</v>
      </c>
      <c r="C112" s="110">
        <f>'Portable Equip'!B$19</f>
        <v>7818</v>
      </c>
      <c r="D112" s="456" t="str">
        <f>IF(OR('Portable Equip'!C$19=0,ISBLANK('Portable Equip'!C$19)),"",'Portable Equip'!C$19)</f>
        <v/>
      </c>
      <c r="E112" s="18">
        <v>20</v>
      </c>
      <c r="F112" s="18" t="str">
        <f>IF(ISBLANK('Portable Equip'!B$30),"new_ID",start)</f>
        <v>new_ID</v>
      </c>
      <c r="G112" s="111" t="s">
        <v>93</v>
      </c>
    </row>
    <row r="113" spans="1:7" x14ac:dyDescent="0.2">
      <c r="A113" s="18">
        <f t="shared" si="3"/>
        <v>0</v>
      </c>
      <c r="B113" s="18">
        <f>O1</f>
        <v>2024</v>
      </c>
      <c r="C113" s="110">
        <f>'Portable Equip'!E$5</f>
        <v>7819</v>
      </c>
      <c r="D113" s="110" t="str">
        <f>IF(ISBLANK('Portable Equip'!F$5),"",'Portable Equip'!F$5)</f>
        <v/>
      </c>
      <c r="E113" s="18">
        <v>20</v>
      </c>
      <c r="F113" s="18" t="str">
        <f>IF(ISBLANK('Portable Equip'!E$30),"new_ID",start)</f>
        <v>new_ID</v>
      </c>
      <c r="G113" s="118" t="s">
        <v>93</v>
      </c>
    </row>
    <row r="114" spans="1:7" x14ac:dyDescent="0.2">
      <c r="A114" s="18">
        <f t="shared" si="3"/>
        <v>0</v>
      </c>
      <c r="B114" s="18">
        <f>O1</f>
        <v>2024</v>
      </c>
      <c r="C114" s="110">
        <f>'Portable Equip'!E$6</f>
        <v>7820</v>
      </c>
      <c r="D114" s="110" t="str">
        <f>IF(ISBLANK('Portable Equip'!F$6),"",'Portable Equip'!F$6)</f>
        <v/>
      </c>
      <c r="E114" s="18">
        <v>20</v>
      </c>
      <c r="F114" s="18" t="str">
        <f>IF(ISBLANK('Portable Equip'!E$30),"new_ID",start)</f>
        <v>new_ID</v>
      </c>
      <c r="G114" s="111" t="s">
        <v>93</v>
      </c>
    </row>
    <row r="115" spans="1:7" x14ac:dyDescent="0.2">
      <c r="A115" s="18">
        <f t="shared" si="3"/>
        <v>0</v>
      </c>
      <c r="B115" s="18">
        <f>O1</f>
        <v>2024</v>
      </c>
      <c r="C115" s="110">
        <f>'Portable Equip'!E$7</f>
        <v>7821</v>
      </c>
      <c r="D115" s="110" t="str">
        <f>IF(ISBLANK('Portable Equip'!F$7),"",'Portable Equip'!F$7)</f>
        <v/>
      </c>
      <c r="E115" s="18">
        <v>20</v>
      </c>
      <c r="F115" s="18" t="str">
        <f>IF(ISBLANK('Portable Equip'!E$30),"new_ID",start)</f>
        <v>new_ID</v>
      </c>
      <c r="G115" s="111" t="s">
        <v>93</v>
      </c>
    </row>
    <row r="116" spans="1:7" x14ac:dyDescent="0.2">
      <c r="A116" s="18">
        <f t="shared" si="3"/>
        <v>0</v>
      </c>
      <c r="B116" s="18">
        <f>O1</f>
        <v>2024</v>
      </c>
      <c r="C116" s="110">
        <f>'Portable Equip'!E$8</f>
        <v>7822</v>
      </c>
      <c r="D116" s="110" t="str">
        <f>IF(ISBLANK('Portable Equip'!F$8),"",'Portable Equip'!F$8)</f>
        <v/>
      </c>
      <c r="E116" s="18">
        <v>20</v>
      </c>
      <c r="F116" s="18" t="str">
        <f>IF(ISBLANK('Portable Equip'!E$30),"new_ID",start)</f>
        <v>new_ID</v>
      </c>
      <c r="G116" s="111" t="s">
        <v>93</v>
      </c>
    </row>
    <row r="117" spans="1:7" x14ac:dyDescent="0.2">
      <c r="A117" s="18">
        <f t="shared" si="3"/>
        <v>0</v>
      </c>
      <c r="B117" s="18">
        <f>O1</f>
        <v>2024</v>
      </c>
      <c r="C117" s="110">
        <f>'Portable Equip'!E$9</f>
        <v>7823</v>
      </c>
      <c r="D117" s="110" t="str">
        <f>IF(ISBLANK('Portable Equip'!F$9),"",'Portable Equip'!F$9)</f>
        <v/>
      </c>
      <c r="E117" s="18">
        <v>20</v>
      </c>
      <c r="F117" s="18" t="str">
        <f>IF(ISBLANK('Portable Equip'!E$30),"new_ID",start)</f>
        <v>new_ID</v>
      </c>
      <c r="G117" s="111" t="s">
        <v>93</v>
      </c>
    </row>
    <row r="118" spans="1:7" x14ac:dyDescent="0.2">
      <c r="A118" s="18">
        <f t="shared" si="3"/>
        <v>0</v>
      </c>
      <c r="B118" s="18">
        <f>O1</f>
        <v>2024</v>
      </c>
      <c r="C118" s="110">
        <f>'Portable Equip'!E$10</f>
        <v>7824</v>
      </c>
      <c r="D118" s="110" t="str">
        <f>IF(ISBLANK('Portable Equip'!F$10),"",'Portable Equip'!F$10)</f>
        <v/>
      </c>
      <c r="E118" s="18">
        <v>20</v>
      </c>
      <c r="F118" s="18" t="str">
        <f>IF(ISBLANK('Portable Equip'!E$30),"new_ID",start)</f>
        <v>new_ID</v>
      </c>
      <c r="G118" s="111" t="s">
        <v>93</v>
      </c>
    </row>
    <row r="119" spans="1:7" x14ac:dyDescent="0.2">
      <c r="A119" s="18">
        <f t="shared" si="3"/>
        <v>0</v>
      </c>
      <c r="B119" s="18">
        <f>O1</f>
        <v>2024</v>
      </c>
      <c r="C119" s="110">
        <f>'Portable Equip'!E$11</f>
        <v>7825</v>
      </c>
      <c r="D119" s="110" t="str">
        <f>IF(ISBLANK('Portable Equip'!F$11),"",'Portable Equip'!F$11)</f>
        <v/>
      </c>
      <c r="E119" s="18">
        <v>20</v>
      </c>
      <c r="F119" s="18" t="str">
        <f>IF(ISBLANK('Portable Equip'!E$30),"new_ID",start)</f>
        <v>new_ID</v>
      </c>
      <c r="G119" s="111" t="s">
        <v>93</v>
      </c>
    </row>
    <row r="120" spans="1:7" x14ac:dyDescent="0.2">
      <c r="A120" s="18">
        <f t="shared" si="3"/>
        <v>0</v>
      </c>
      <c r="B120" s="18">
        <f>O1</f>
        <v>2024</v>
      </c>
      <c r="C120" s="110">
        <f>'Portable Equip'!E$12</f>
        <v>7826</v>
      </c>
      <c r="D120" s="110" t="str">
        <f>IF(ISBLANK('Portable Equip'!F$12),"",'Portable Equip'!F$12)</f>
        <v/>
      </c>
      <c r="E120" s="18">
        <v>20</v>
      </c>
      <c r="F120" s="18" t="str">
        <f>IF(ISBLANK('Portable Equip'!E$30),"new_ID",start)</f>
        <v>new_ID</v>
      </c>
      <c r="G120" s="111" t="s">
        <v>93</v>
      </c>
    </row>
    <row r="121" spans="1:7" x14ac:dyDescent="0.2">
      <c r="A121" s="18">
        <f t="shared" si="3"/>
        <v>0</v>
      </c>
      <c r="B121" s="18">
        <f>O1</f>
        <v>2024</v>
      </c>
      <c r="C121" s="110">
        <f>'Portable Equip'!E$13</f>
        <v>7827</v>
      </c>
      <c r="D121" s="110" t="str">
        <f>IF(ISBLANK('Portable Equip'!F$13),"",'Portable Equip'!F$13)</f>
        <v/>
      </c>
      <c r="E121" s="18">
        <v>20</v>
      </c>
      <c r="F121" s="18" t="str">
        <f>IF(ISBLANK('Portable Equip'!E$30),"new_ID",start)</f>
        <v>new_ID</v>
      </c>
      <c r="G121" s="111" t="s">
        <v>93</v>
      </c>
    </row>
    <row r="122" spans="1:7" x14ac:dyDescent="0.2">
      <c r="A122" s="18">
        <f t="shared" si="3"/>
        <v>0</v>
      </c>
      <c r="B122" s="18">
        <f>O1</f>
        <v>2024</v>
      </c>
      <c r="C122" s="110">
        <f>'Portable Equip'!E$14</f>
        <v>7828</v>
      </c>
      <c r="D122" s="110" t="str">
        <f>IF(ISBLANK('Portable Equip'!F$14),"",'Portable Equip'!F$14)</f>
        <v/>
      </c>
      <c r="E122" s="18">
        <v>20</v>
      </c>
      <c r="F122" s="18" t="str">
        <f>IF(ISBLANK('Portable Equip'!E$30),"new_ID",start)</f>
        <v>new_ID</v>
      </c>
      <c r="G122" s="111" t="s">
        <v>93</v>
      </c>
    </row>
    <row r="123" spans="1:7" x14ac:dyDescent="0.2">
      <c r="A123" s="18">
        <f t="shared" si="3"/>
        <v>0</v>
      </c>
      <c r="B123" s="18">
        <f>O1</f>
        <v>2024</v>
      </c>
      <c r="C123" s="110">
        <f>'Portable Equip'!E$15</f>
        <v>7829</v>
      </c>
      <c r="D123" s="456" t="str">
        <f>IF(OR('Portable Equip'!F$15=0,ISBLANK('Portable Equip'!F$15)),"",'Portable Equip'!F$15)</f>
        <v/>
      </c>
      <c r="E123" s="18">
        <v>20</v>
      </c>
      <c r="F123" s="18" t="str">
        <f>IF(ISBLANK('Portable Equip'!E$30),"new_ID",start)</f>
        <v>new_ID</v>
      </c>
      <c r="G123" s="111" t="s">
        <v>93</v>
      </c>
    </row>
    <row r="124" spans="1:7" x14ac:dyDescent="0.2">
      <c r="A124" s="18">
        <f t="shared" si="3"/>
        <v>0</v>
      </c>
      <c r="B124" s="18">
        <f>O1</f>
        <v>2024</v>
      </c>
      <c r="C124" s="110">
        <f>'Portable Equip'!E$16</f>
        <v>7830</v>
      </c>
      <c r="D124" s="110" t="str">
        <f>IF(ISBLANK('Portable Equip'!F$16),"",'Portable Equip'!F$16)</f>
        <v/>
      </c>
      <c r="E124" s="18">
        <v>20</v>
      </c>
      <c r="F124" s="18" t="str">
        <f>IF(ISBLANK('Portable Equip'!E$30),"new_ID",start)</f>
        <v>new_ID</v>
      </c>
      <c r="G124" s="111" t="s">
        <v>93</v>
      </c>
    </row>
    <row r="125" spans="1:7" hidden="1" x14ac:dyDescent="0.2">
      <c r="C125" s="110"/>
      <c r="D125" s="110"/>
      <c r="G125" s="111" t="s">
        <v>93</v>
      </c>
    </row>
    <row r="126" spans="1:7" x14ac:dyDescent="0.2">
      <c r="A126" s="18">
        <f t="shared" si="3"/>
        <v>0</v>
      </c>
      <c r="B126" s="18">
        <f>O1</f>
        <v>2024</v>
      </c>
      <c r="C126" s="110">
        <f>'Portable Equip'!E$18</f>
        <v>7832</v>
      </c>
      <c r="D126" s="110" t="str">
        <f>IF(ISBLANK('Portable Equip'!F$18),"",'Portable Equip'!F$18)</f>
        <v/>
      </c>
      <c r="E126" s="18">
        <v>20</v>
      </c>
      <c r="F126" s="18" t="str">
        <f>IF(ISBLANK('Portable Equip'!E$30),"new_ID",start)</f>
        <v>new_ID</v>
      </c>
      <c r="G126" s="111" t="s">
        <v>93</v>
      </c>
    </row>
    <row r="127" spans="1:7" x14ac:dyDescent="0.2">
      <c r="A127" s="18">
        <f t="shared" si="3"/>
        <v>0</v>
      </c>
      <c r="B127" s="18">
        <f>O1</f>
        <v>2024</v>
      </c>
      <c r="C127" s="110">
        <f>'Portable Equip'!E$19</f>
        <v>7833</v>
      </c>
      <c r="D127" s="456" t="str">
        <f>IF(OR('Portable Equip'!F$19=0,ISBLANK('Portable Equip'!F$19)),"",'Portable Equip'!F$19)</f>
        <v/>
      </c>
      <c r="E127" s="18">
        <v>20</v>
      </c>
      <c r="F127" s="18" t="str">
        <f>IF(ISBLANK('Portable Equip'!E$30),"new_ID",start)</f>
        <v>new_ID</v>
      </c>
      <c r="G127" s="111" t="s">
        <v>93</v>
      </c>
    </row>
    <row r="128" spans="1:7" x14ac:dyDescent="0.2">
      <c r="A128" s="18">
        <f t="shared" si="3"/>
        <v>0</v>
      </c>
      <c r="B128" s="18">
        <f>O1</f>
        <v>2024</v>
      </c>
      <c r="C128" s="110">
        <f>'Portable Equip'!H$5</f>
        <v>7834</v>
      </c>
      <c r="D128" s="110" t="str">
        <f>IF(ISBLANK('Portable Equip'!I$5),"",'Portable Equip'!I$5)</f>
        <v/>
      </c>
      <c r="E128" s="18">
        <v>20</v>
      </c>
      <c r="F128" s="18" t="str">
        <f>IF(ISBLANK('Portable Equip'!H$30),"new_ID",start)</f>
        <v>new_ID</v>
      </c>
      <c r="G128" s="118" t="s">
        <v>93</v>
      </c>
    </row>
    <row r="129" spans="1:7" x14ac:dyDescent="0.2">
      <c r="A129" s="18">
        <f t="shared" si="3"/>
        <v>0</v>
      </c>
      <c r="B129" s="18">
        <f>O1</f>
        <v>2024</v>
      </c>
      <c r="C129" s="110">
        <f>'Portable Equip'!H$6</f>
        <v>7835</v>
      </c>
      <c r="D129" s="110" t="str">
        <f>IF(ISBLANK('Portable Equip'!I$6),"",'Portable Equip'!I$6)</f>
        <v/>
      </c>
      <c r="E129" s="18">
        <v>20</v>
      </c>
      <c r="F129" s="18" t="str">
        <f>IF(ISBLANK('Portable Equip'!H$30),"new_ID",start)</f>
        <v>new_ID</v>
      </c>
      <c r="G129" s="111" t="s">
        <v>93</v>
      </c>
    </row>
    <row r="130" spans="1:7" x14ac:dyDescent="0.2">
      <c r="A130" s="18">
        <f t="shared" si="3"/>
        <v>0</v>
      </c>
      <c r="B130" s="18">
        <f>O1</f>
        <v>2024</v>
      </c>
      <c r="C130" s="110">
        <f>'Portable Equip'!H$7</f>
        <v>7836</v>
      </c>
      <c r="D130" s="110" t="str">
        <f>IF(ISBLANK('Portable Equip'!I$7),"",'Portable Equip'!I$7)</f>
        <v/>
      </c>
      <c r="E130" s="18">
        <v>20</v>
      </c>
      <c r="F130" s="18" t="str">
        <f>IF(ISBLANK('Portable Equip'!H$30),"new_ID",start)</f>
        <v>new_ID</v>
      </c>
      <c r="G130" s="111" t="s">
        <v>93</v>
      </c>
    </row>
    <row r="131" spans="1:7" x14ac:dyDescent="0.2">
      <c r="A131" s="18">
        <f t="shared" si="3"/>
        <v>0</v>
      </c>
      <c r="B131" s="18">
        <f>O1</f>
        <v>2024</v>
      </c>
      <c r="C131" s="110">
        <f>'Portable Equip'!H$8</f>
        <v>7837</v>
      </c>
      <c r="D131" s="110" t="str">
        <f>IF(ISBLANK('Portable Equip'!I$8),"",'Portable Equip'!I$8)</f>
        <v/>
      </c>
      <c r="E131" s="18">
        <v>20</v>
      </c>
      <c r="F131" s="18" t="str">
        <f>IF(ISBLANK('Portable Equip'!H$30),"new_ID",start)</f>
        <v>new_ID</v>
      </c>
      <c r="G131" s="111" t="s">
        <v>93</v>
      </c>
    </row>
    <row r="132" spans="1:7" x14ac:dyDescent="0.2">
      <c r="A132" s="18">
        <f t="shared" si="3"/>
        <v>0</v>
      </c>
      <c r="B132" s="18">
        <f>O1</f>
        <v>2024</v>
      </c>
      <c r="C132" s="110">
        <f>'Portable Equip'!H$9</f>
        <v>7838</v>
      </c>
      <c r="D132" s="110" t="str">
        <f>IF(ISBLANK('Portable Equip'!I$9),"",'Portable Equip'!I$9)</f>
        <v/>
      </c>
      <c r="E132" s="18">
        <v>20</v>
      </c>
      <c r="F132" s="18" t="str">
        <f>IF(ISBLANK('Portable Equip'!H$30),"new_ID",start)</f>
        <v>new_ID</v>
      </c>
      <c r="G132" s="111" t="s">
        <v>93</v>
      </c>
    </row>
    <row r="133" spans="1:7" x14ac:dyDescent="0.2">
      <c r="A133" s="18">
        <f t="shared" si="3"/>
        <v>0</v>
      </c>
      <c r="B133" s="18">
        <f>O1</f>
        <v>2024</v>
      </c>
      <c r="C133" s="110">
        <f>'Portable Equip'!H$10</f>
        <v>7839</v>
      </c>
      <c r="D133" s="110" t="str">
        <f>IF(ISBLANK('Portable Equip'!I$10),"",'Portable Equip'!I$10)</f>
        <v/>
      </c>
      <c r="E133" s="18">
        <v>20</v>
      </c>
      <c r="F133" s="18" t="str">
        <f>IF(ISBLANK('Portable Equip'!H$30),"new_ID",start)</f>
        <v>new_ID</v>
      </c>
      <c r="G133" s="111" t="s">
        <v>93</v>
      </c>
    </row>
    <row r="134" spans="1:7" x14ac:dyDescent="0.2">
      <c r="A134" s="18">
        <f t="shared" si="3"/>
        <v>0</v>
      </c>
      <c r="B134" s="18">
        <f>O1</f>
        <v>2024</v>
      </c>
      <c r="C134" s="110">
        <f>'Portable Equip'!H$11</f>
        <v>7840</v>
      </c>
      <c r="D134" s="110" t="str">
        <f>IF(ISBLANK('Portable Equip'!I$11),"",'Portable Equip'!I$11)</f>
        <v/>
      </c>
      <c r="E134" s="18">
        <v>20</v>
      </c>
      <c r="F134" s="18" t="str">
        <f>IF(ISBLANK('Portable Equip'!H$30),"new_ID",start)</f>
        <v>new_ID</v>
      </c>
      <c r="G134" s="111" t="s">
        <v>93</v>
      </c>
    </row>
    <row r="135" spans="1:7" x14ac:dyDescent="0.2">
      <c r="A135" s="18">
        <f t="shared" si="3"/>
        <v>0</v>
      </c>
      <c r="B135" s="18">
        <f>O1</f>
        <v>2024</v>
      </c>
      <c r="C135" s="110">
        <f>'Portable Equip'!H$12</f>
        <v>7841</v>
      </c>
      <c r="D135" s="110" t="str">
        <f>IF(ISBLANK('Portable Equip'!I$12),"",'Portable Equip'!I$12)</f>
        <v/>
      </c>
      <c r="E135" s="18">
        <v>20</v>
      </c>
      <c r="F135" s="18" t="str">
        <f>IF(ISBLANK('Portable Equip'!H$30),"new_ID",start)</f>
        <v>new_ID</v>
      </c>
      <c r="G135" s="111" t="s">
        <v>93</v>
      </c>
    </row>
    <row r="136" spans="1:7" x14ac:dyDescent="0.2">
      <c r="A136" s="18">
        <f t="shared" si="3"/>
        <v>0</v>
      </c>
      <c r="B136" s="18">
        <f>O1</f>
        <v>2024</v>
      </c>
      <c r="C136" s="110">
        <f>'Portable Equip'!H$13</f>
        <v>7842</v>
      </c>
      <c r="D136" s="110" t="str">
        <f>IF(ISBLANK('Portable Equip'!I$13),"",'Portable Equip'!I$13)</f>
        <v/>
      </c>
      <c r="E136" s="18">
        <v>20</v>
      </c>
      <c r="F136" s="18" t="str">
        <f>IF(ISBLANK('Portable Equip'!H$30),"new_ID",start)</f>
        <v>new_ID</v>
      </c>
      <c r="G136" s="111" t="s">
        <v>93</v>
      </c>
    </row>
    <row r="137" spans="1:7" x14ac:dyDescent="0.2">
      <c r="A137" s="18">
        <f t="shared" si="3"/>
        <v>0</v>
      </c>
      <c r="B137" s="18">
        <f>O1</f>
        <v>2024</v>
      </c>
      <c r="C137" s="110">
        <f>'Portable Equip'!H$14</f>
        <v>7843</v>
      </c>
      <c r="D137" s="110" t="str">
        <f>IF(ISBLANK('Portable Equip'!I$14),"",'Portable Equip'!I$14)</f>
        <v/>
      </c>
      <c r="E137" s="18">
        <v>20</v>
      </c>
      <c r="F137" s="18" t="str">
        <f>IF(ISBLANK('Portable Equip'!H$30),"new_ID",start)</f>
        <v>new_ID</v>
      </c>
      <c r="G137" s="111" t="s">
        <v>93</v>
      </c>
    </row>
    <row r="138" spans="1:7" x14ac:dyDescent="0.2">
      <c r="A138" s="18">
        <f t="shared" si="3"/>
        <v>0</v>
      </c>
      <c r="B138" s="18">
        <f>O1</f>
        <v>2024</v>
      </c>
      <c r="C138" s="110">
        <f>'Portable Equip'!H$15</f>
        <v>7844</v>
      </c>
      <c r="D138" s="456" t="str">
        <f>IF(OR('Portable Equip'!I$15=0,ISBLANK('Portable Equip'!I$15)),"",'Portable Equip'!I$15)</f>
        <v/>
      </c>
      <c r="E138" s="18">
        <v>20</v>
      </c>
      <c r="F138" s="18" t="str">
        <f>IF(ISBLANK('Portable Equip'!H$30),"new_ID",start)</f>
        <v>new_ID</v>
      </c>
      <c r="G138" s="111" t="s">
        <v>93</v>
      </c>
    </row>
    <row r="139" spans="1:7" x14ac:dyDescent="0.2">
      <c r="A139" s="18">
        <f t="shared" si="3"/>
        <v>0</v>
      </c>
      <c r="B139" s="18">
        <f>O1</f>
        <v>2024</v>
      </c>
      <c r="C139" s="110">
        <f>'Portable Equip'!H$16</f>
        <v>7845</v>
      </c>
      <c r="D139" s="110" t="str">
        <f>IF(ISBLANK('Portable Equip'!I$16),"",'Portable Equip'!I$16)</f>
        <v/>
      </c>
      <c r="E139" s="18">
        <v>20</v>
      </c>
      <c r="F139" s="18" t="str">
        <f>IF(ISBLANK('Portable Equip'!H$30),"new_ID",start)</f>
        <v>new_ID</v>
      </c>
      <c r="G139" s="111" t="s">
        <v>93</v>
      </c>
    </row>
    <row r="140" spans="1:7" hidden="1" x14ac:dyDescent="0.2">
      <c r="C140" s="110"/>
      <c r="D140" s="110"/>
      <c r="G140" s="111" t="s">
        <v>93</v>
      </c>
    </row>
    <row r="141" spans="1:7" x14ac:dyDescent="0.2">
      <c r="A141" s="18">
        <f t="shared" si="3"/>
        <v>0</v>
      </c>
      <c r="B141" s="18">
        <f>O1</f>
        <v>2024</v>
      </c>
      <c r="C141" s="110">
        <f>'Portable Equip'!H$18</f>
        <v>7847</v>
      </c>
      <c r="D141" s="110" t="str">
        <f>IF(ISBLANK('Portable Equip'!I$18),"",'Portable Equip'!I$18)</f>
        <v/>
      </c>
      <c r="E141" s="18">
        <v>20</v>
      </c>
      <c r="F141" s="18" t="str">
        <f>IF(ISBLANK('Portable Equip'!H$30),"new_ID",start)</f>
        <v>new_ID</v>
      </c>
      <c r="G141" s="111" t="s">
        <v>93</v>
      </c>
    </row>
    <row r="142" spans="1:7" x14ac:dyDescent="0.2">
      <c r="A142" s="18">
        <f t="shared" si="3"/>
        <v>0</v>
      </c>
      <c r="B142" s="18">
        <f>O1</f>
        <v>2024</v>
      </c>
      <c r="C142" s="110">
        <f>'Portable Equip'!H$19</f>
        <v>7848</v>
      </c>
      <c r="D142" s="456" t="str">
        <f>IF(OR('Portable Equip'!I$19=0,ISBLANK('Portable Equip'!I$19)),"",'Portable Equip'!I$19)</f>
        <v/>
      </c>
      <c r="E142" s="18">
        <v>20</v>
      </c>
      <c r="F142" s="18" t="str">
        <f>IF(ISBLANK('Portable Equip'!H$30),"new_ID",start)</f>
        <v>new_ID</v>
      </c>
      <c r="G142" s="111" t="s">
        <v>93</v>
      </c>
    </row>
    <row r="143" spans="1:7" x14ac:dyDescent="0.2">
      <c r="A143" s="18">
        <f t="shared" si="3"/>
        <v>0</v>
      </c>
      <c r="B143" s="18">
        <f>O1</f>
        <v>2024</v>
      </c>
      <c r="C143" s="110">
        <f>'Portable Equip'!K$5</f>
        <v>7849</v>
      </c>
      <c r="D143" s="110" t="str">
        <f>IF(ISBLANK('Portable Equip'!L$5),"",'Portable Equip'!L$5)</f>
        <v/>
      </c>
      <c r="E143" s="18">
        <v>20</v>
      </c>
      <c r="F143" s="18" t="str">
        <f>IF(ISBLANK('Portable Equip'!K$30),"new_ID",start)</f>
        <v>new_ID</v>
      </c>
      <c r="G143" s="118" t="s">
        <v>93</v>
      </c>
    </row>
    <row r="144" spans="1:7" x14ac:dyDescent="0.2">
      <c r="A144" s="18">
        <f t="shared" si="3"/>
        <v>0</v>
      </c>
      <c r="B144" s="18">
        <f>O1</f>
        <v>2024</v>
      </c>
      <c r="C144" s="110">
        <f>'Portable Equip'!K$6</f>
        <v>7850</v>
      </c>
      <c r="D144" s="110" t="str">
        <f>IF(ISBLANK('Portable Equip'!L$6),"",'Portable Equip'!L$6)</f>
        <v/>
      </c>
      <c r="E144" s="18">
        <v>20</v>
      </c>
      <c r="F144" s="18" t="str">
        <f>IF(ISBLANK('Portable Equip'!K$30),"new_ID",start)</f>
        <v>new_ID</v>
      </c>
      <c r="G144" s="111" t="s">
        <v>93</v>
      </c>
    </row>
    <row r="145" spans="1:7" x14ac:dyDescent="0.2">
      <c r="A145" s="18">
        <f t="shared" si="3"/>
        <v>0</v>
      </c>
      <c r="B145" s="18">
        <f>O1</f>
        <v>2024</v>
      </c>
      <c r="C145" s="110">
        <f>'Portable Equip'!K$7</f>
        <v>7851</v>
      </c>
      <c r="D145" s="110" t="str">
        <f>IF(ISBLANK('Portable Equip'!L$7),"",'Portable Equip'!L$7)</f>
        <v/>
      </c>
      <c r="E145" s="18">
        <v>20</v>
      </c>
      <c r="F145" s="18" t="str">
        <f>IF(ISBLANK('Portable Equip'!K$30),"new_ID",start)</f>
        <v>new_ID</v>
      </c>
      <c r="G145" s="111" t="s">
        <v>93</v>
      </c>
    </row>
    <row r="146" spans="1:7" x14ac:dyDescent="0.2">
      <c r="A146" s="18">
        <f t="shared" si="3"/>
        <v>0</v>
      </c>
      <c r="B146" s="18">
        <f>O1</f>
        <v>2024</v>
      </c>
      <c r="C146" s="110">
        <f>'Portable Equip'!K$8</f>
        <v>7852</v>
      </c>
      <c r="D146" s="110" t="str">
        <f>IF(ISBLANK('Portable Equip'!L$8),"",'Portable Equip'!L$8)</f>
        <v/>
      </c>
      <c r="E146" s="18">
        <v>20</v>
      </c>
      <c r="F146" s="18" t="str">
        <f>IF(ISBLANK('Portable Equip'!K$30),"new_ID",start)</f>
        <v>new_ID</v>
      </c>
      <c r="G146" s="111" t="s">
        <v>93</v>
      </c>
    </row>
    <row r="147" spans="1:7" x14ac:dyDescent="0.2">
      <c r="A147" s="18">
        <f t="shared" si="3"/>
        <v>0</v>
      </c>
      <c r="B147" s="18">
        <f>O1</f>
        <v>2024</v>
      </c>
      <c r="C147" s="110">
        <f>'Portable Equip'!K$9</f>
        <v>7853</v>
      </c>
      <c r="D147" s="110" t="str">
        <f>IF(ISBLANK('Portable Equip'!L$9),"",'Portable Equip'!L$9)</f>
        <v/>
      </c>
      <c r="E147" s="18">
        <v>20</v>
      </c>
      <c r="F147" s="18" t="str">
        <f>IF(ISBLANK('Portable Equip'!K$30),"new_ID",start)</f>
        <v>new_ID</v>
      </c>
      <c r="G147" s="111" t="s">
        <v>93</v>
      </c>
    </row>
    <row r="148" spans="1:7" x14ac:dyDescent="0.2">
      <c r="A148" s="18">
        <f t="shared" si="3"/>
        <v>0</v>
      </c>
      <c r="B148" s="18">
        <f>O1</f>
        <v>2024</v>
      </c>
      <c r="C148" s="110">
        <f>'Portable Equip'!K$10</f>
        <v>7854</v>
      </c>
      <c r="D148" s="110" t="str">
        <f>IF(ISBLANK('Portable Equip'!L$10),"",'Portable Equip'!L$10)</f>
        <v/>
      </c>
      <c r="E148" s="18">
        <v>20</v>
      </c>
      <c r="F148" s="18" t="str">
        <f>IF(ISBLANK('Portable Equip'!K$30),"new_ID",start)</f>
        <v>new_ID</v>
      </c>
      <c r="G148" s="111" t="s">
        <v>93</v>
      </c>
    </row>
    <row r="149" spans="1:7" x14ac:dyDescent="0.2">
      <c r="A149" s="18">
        <f t="shared" si="3"/>
        <v>0</v>
      </c>
      <c r="B149" s="18">
        <f>O1</f>
        <v>2024</v>
      </c>
      <c r="C149" s="110">
        <f>'Portable Equip'!K$11</f>
        <v>7855</v>
      </c>
      <c r="D149" s="110" t="str">
        <f>IF(ISBLANK('Portable Equip'!L$11),"",'Portable Equip'!L$11)</f>
        <v/>
      </c>
      <c r="E149" s="18">
        <v>20</v>
      </c>
      <c r="F149" s="18" t="str">
        <f>IF(ISBLANK('Portable Equip'!K$30),"new_ID",start)</f>
        <v>new_ID</v>
      </c>
      <c r="G149" s="111" t="s">
        <v>93</v>
      </c>
    </row>
    <row r="150" spans="1:7" x14ac:dyDescent="0.2">
      <c r="A150" s="18">
        <f t="shared" si="3"/>
        <v>0</v>
      </c>
      <c r="B150" s="18">
        <f>O1</f>
        <v>2024</v>
      </c>
      <c r="C150" s="110">
        <f>'Portable Equip'!K$12</f>
        <v>7856</v>
      </c>
      <c r="D150" s="110" t="str">
        <f>IF(ISBLANK('Portable Equip'!L$12),"",'Portable Equip'!L$12)</f>
        <v/>
      </c>
      <c r="E150" s="18">
        <v>20</v>
      </c>
      <c r="F150" s="18" t="str">
        <f>IF(ISBLANK('Portable Equip'!K$30),"new_ID",start)</f>
        <v>new_ID</v>
      </c>
      <c r="G150" s="111" t="s">
        <v>93</v>
      </c>
    </row>
    <row r="151" spans="1:7" x14ac:dyDescent="0.2">
      <c r="A151" s="18">
        <f t="shared" si="3"/>
        <v>0</v>
      </c>
      <c r="B151" s="18">
        <f>O1</f>
        <v>2024</v>
      </c>
      <c r="C151" s="110">
        <f>'Portable Equip'!K$13</f>
        <v>7857</v>
      </c>
      <c r="D151" s="110" t="str">
        <f>IF(ISBLANK('Portable Equip'!L$13),"",'Portable Equip'!L$13)</f>
        <v/>
      </c>
      <c r="E151" s="18">
        <v>20</v>
      </c>
      <c r="F151" s="18" t="str">
        <f>IF(ISBLANK('Portable Equip'!K$30),"new_ID",start)</f>
        <v>new_ID</v>
      </c>
      <c r="G151" s="111" t="s">
        <v>93</v>
      </c>
    </row>
    <row r="152" spans="1:7" x14ac:dyDescent="0.2">
      <c r="A152" s="18">
        <f t="shared" si="3"/>
        <v>0</v>
      </c>
      <c r="B152" s="18">
        <f>O1</f>
        <v>2024</v>
      </c>
      <c r="C152" s="110">
        <f>'Portable Equip'!K$14</f>
        <v>7858</v>
      </c>
      <c r="D152" s="110" t="str">
        <f>IF(ISBLANK('Portable Equip'!L$14),"",'Portable Equip'!L$14)</f>
        <v/>
      </c>
      <c r="E152" s="18">
        <v>20</v>
      </c>
      <c r="F152" s="18" t="str">
        <f>IF(ISBLANK('Portable Equip'!K$30),"new_ID",start)</f>
        <v>new_ID</v>
      </c>
      <c r="G152" s="111" t="s">
        <v>93</v>
      </c>
    </row>
    <row r="153" spans="1:7" x14ac:dyDescent="0.2">
      <c r="A153" s="18">
        <f t="shared" si="3"/>
        <v>0</v>
      </c>
      <c r="B153" s="18">
        <f>O1</f>
        <v>2024</v>
      </c>
      <c r="C153" s="110">
        <f>'Portable Equip'!K$15</f>
        <v>7859</v>
      </c>
      <c r="D153" s="456" t="str">
        <f>IF(OR('Portable Equip'!L$15=0,ISBLANK('Portable Equip'!L$15)),"",'Portable Equip'!L$15)</f>
        <v/>
      </c>
      <c r="E153" s="18">
        <v>20</v>
      </c>
      <c r="F153" s="18" t="str">
        <f>IF(ISBLANK('Portable Equip'!K$30),"new_ID",start)</f>
        <v>new_ID</v>
      </c>
      <c r="G153" s="111" t="s">
        <v>93</v>
      </c>
    </row>
    <row r="154" spans="1:7" x14ac:dyDescent="0.2">
      <c r="A154" s="18">
        <f t="shared" si="3"/>
        <v>0</v>
      </c>
      <c r="B154" s="18">
        <f>O1</f>
        <v>2024</v>
      </c>
      <c r="C154" s="110">
        <f>'Portable Equip'!K$16</f>
        <v>7860</v>
      </c>
      <c r="D154" s="110" t="str">
        <f>IF(ISBLANK('Portable Equip'!L$16),"",'Portable Equip'!L$16)</f>
        <v/>
      </c>
      <c r="E154" s="18">
        <v>20</v>
      </c>
      <c r="F154" s="18" t="str">
        <f>IF(ISBLANK('Portable Equip'!K$30),"new_ID",start)</f>
        <v>new_ID</v>
      </c>
      <c r="G154" s="111" t="s">
        <v>93</v>
      </c>
    </row>
    <row r="155" spans="1:7" hidden="1" x14ac:dyDescent="0.2">
      <c r="C155" s="110"/>
      <c r="D155" s="110"/>
      <c r="G155" s="111" t="s">
        <v>93</v>
      </c>
    </row>
    <row r="156" spans="1:7" x14ac:dyDescent="0.2">
      <c r="A156" s="18">
        <f t="shared" si="3"/>
        <v>0</v>
      </c>
      <c r="B156" s="18">
        <f>O1</f>
        <v>2024</v>
      </c>
      <c r="C156" s="110">
        <f>'Portable Equip'!K$18</f>
        <v>7862</v>
      </c>
      <c r="D156" s="110" t="str">
        <f>IF(ISBLANK('Portable Equip'!L$18),"",'Portable Equip'!L$18)</f>
        <v/>
      </c>
      <c r="E156" s="18">
        <v>20</v>
      </c>
      <c r="F156" s="18" t="str">
        <f>IF(ISBLANK('Portable Equip'!K$30),"new_ID",start)</f>
        <v>new_ID</v>
      </c>
      <c r="G156" s="111" t="s">
        <v>93</v>
      </c>
    </row>
    <row r="157" spans="1:7" x14ac:dyDescent="0.2">
      <c r="A157" s="18">
        <f t="shared" si="3"/>
        <v>0</v>
      </c>
      <c r="B157" s="18">
        <f>O1</f>
        <v>2024</v>
      </c>
      <c r="C157" s="110">
        <f>'Portable Equip'!K$19</f>
        <v>7863</v>
      </c>
      <c r="D157" s="456" t="str">
        <f>IF(OR('Portable Equip'!L$19=0,ISBLANK('Portable Equip'!L$19)),"",'Portable Equip'!L$19)</f>
        <v/>
      </c>
      <c r="E157" s="18">
        <v>20</v>
      </c>
      <c r="F157" s="18" t="str">
        <f>IF(ISBLANK('Portable Equip'!K$30),"new_ID",start)</f>
        <v>new_ID</v>
      </c>
      <c r="G157" s="111" t="s">
        <v>93</v>
      </c>
    </row>
    <row r="158" spans="1:7" x14ac:dyDescent="0.2">
      <c r="A158" s="18">
        <f t="shared" si="3"/>
        <v>0</v>
      </c>
      <c r="B158" s="18">
        <f>O1</f>
        <v>2024</v>
      </c>
      <c r="C158" s="110">
        <f>'Portable Equip'!N$5</f>
        <v>7864</v>
      </c>
      <c r="D158" s="110" t="str">
        <f>IF(ISBLANK('Portable Equip'!O$5),"",'Portable Equip'!O$5)</f>
        <v/>
      </c>
      <c r="E158" s="18">
        <v>20</v>
      </c>
      <c r="F158" s="18" t="str">
        <f>IF(ISBLANK('Portable Equip'!N$30),"new_ID",start)</f>
        <v>new_ID</v>
      </c>
      <c r="G158" s="118" t="s">
        <v>93</v>
      </c>
    </row>
    <row r="159" spans="1:7" x14ac:dyDescent="0.2">
      <c r="A159" s="18">
        <f t="shared" si="3"/>
        <v>0</v>
      </c>
      <c r="B159" s="18">
        <f>O1</f>
        <v>2024</v>
      </c>
      <c r="C159" s="110">
        <f>'Portable Equip'!N$6</f>
        <v>7865</v>
      </c>
      <c r="D159" s="110" t="str">
        <f>IF(ISBLANK('Portable Equip'!O$6),"",'Portable Equip'!O$6)</f>
        <v/>
      </c>
      <c r="E159" s="18">
        <v>20</v>
      </c>
      <c r="F159" s="18" t="str">
        <f>IF(ISBLANK('Portable Equip'!N$30),"new_ID",start)</f>
        <v>new_ID</v>
      </c>
      <c r="G159" s="111" t="s">
        <v>93</v>
      </c>
    </row>
    <row r="160" spans="1:7" x14ac:dyDescent="0.2">
      <c r="A160" s="18">
        <f t="shared" si="3"/>
        <v>0</v>
      </c>
      <c r="B160" s="18">
        <f>O1</f>
        <v>2024</v>
      </c>
      <c r="C160" s="110">
        <f>'Portable Equip'!N$7</f>
        <v>7866</v>
      </c>
      <c r="D160" s="110" t="str">
        <f>IF(ISBLANK('Portable Equip'!O$7),"",'Portable Equip'!O$7)</f>
        <v/>
      </c>
      <c r="E160" s="18">
        <v>20</v>
      </c>
      <c r="F160" s="18" t="str">
        <f>IF(ISBLANK('Portable Equip'!N$30),"new_ID",start)</f>
        <v>new_ID</v>
      </c>
      <c r="G160" s="111" t="s">
        <v>93</v>
      </c>
    </row>
    <row r="161" spans="1:7" x14ac:dyDescent="0.2">
      <c r="A161" s="18">
        <f t="shared" si="3"/>
        <v>0</v>
      </c>
      <c r="B161" s="18">
        <f>O1</f>
        <v>2024</v>
      </c>
      <c r="C161" s="110">
        <f>'Portable Equip'!N$8</f>
        <v>7867</v>
      </c>
      <c r="D161" s="110" t="str">
        <f>IF(ISBLANK('Portable Equip'!O$8),"",'Portable Equip'!O$8)</f>
        <v/>
      </c>
      <c r="E161" s="18">
        <v>20</v>
      </c>
      <c r="F161" s="18" t="str">
        <f>IF(ISBLANK('Portable Equip'!N$30),"new_ID",start)</f>
        <v>new_ID</v>
      </c>
      <c r="G161" s="111" t="s">
        <v>93</v>
      </c>
    </row>
    <row r="162" spans="1:7" x14ac:dyDescent="0.2">
      <c r="A162" s="18">
        <f t="shared" si="3"/>
        <v>0</v>
      </c>
      <c r="B162" s="18">
        <f>O1</f>
        <v>2024</v>
      </c>
      <c r="C162" s="110">
        <f>'Portable Equip'!N$9</f>
        <v>7868</v>
      </c>
      <c r="D162" s="110" t="str">
        <f>IF(ISBLANK('Portable Equip'!O$9),"",'Portable Equip'!O$9)</f>
        <v/>
      </c>
      <c r="E162" s="18">
        <v>20</v>
      </c>
      <c r="F162" s="18" t="str">
        <f>IF(ISBLANK('Portable Equip'!N$30),"new_ID",start)</f>
        <v>new_ID</v>
      </c>
      <c r="G162" s="111" t="s">
        <v>93</v>
      </c>
    </row>
    <row r="163" spans="1:7" x14ac:dyDescent="0.2">
      <c r="A163" s="18">
        <f t="shared" si="3"/>
        <v>0</v>
      </c>
      <c r="B163" s="18">
        <f>O1</f>
        <v>2024</v>
      </c>
      <c r="C163" s="110">
        <f>'Portable Equip'!N$10</f>
        <v>7869</v>
      </c>
      <c r="D163" s="110" t="str">
        <f>IF(ISBLANK('Portable Equip'!O$10),"",'Portable Equip'!O$10)</f>
        <v/>
      </c>
      <c r="E163" s="18">
        <v>20</v>
      </c>
      <c r="F163" s="18" t="str">
        <f>IF(ISBLANK('Portable Equip'!N$30),"new_ID",start)</f>
        <v>new_ID</v>
      </c>
      <c r="G163" s="111" t="s">
        <v>93</v>
      </c>
    </row>
    <row r="164" spans="1:7" x14ac:dyDescent="0.2">
      <c r="A164" s="18">
        <f t="shared" si="3"/>
        <v>0</v>
      </c>
      <c r="B164" s="18">
        <f>O1</f>
        <v>2024</v>
      </c>
      <c r="C164" s="110">
        <f>'Portable Equip'!N$11</f>
        <v>7870</v>
      </c>
      <c r="D164" s="110" t="str">
        <f>IF(ISBLANK('Portable Equip'!O$11),"",'Portable Equip'!O$11)</f>
        <v/>
      </c>
      <c r="E164" s="18">
        <v>20</v>
      </c>
      <c r="F164" s="18" t="str">
        <f>IF(ISBLANK('Portable Equip'!N$30),"new_ID",start)</f>
        <v>new_ID</v>
      </c>
      <c r="G164" s="111" t="s">
        <v>93</v>
      </c>
    </row>
    <row r="165" spans="1:7" x14ac:dyDescent="0.2">
      <c r="A165" s="18">
        <f t="shared" si="3"/>
        <v>0</v>
      </c>
      <c r="B165" s="18">
        <f>O1</f>
        <v>2024</v>
      </c>
      <c r="C165" s="110">
        <f>'Portable Equip'!N$12</f>
        <v>7871</v>
      </c>
      <c r="D165" s="110" t="str">
        <f>IF(ISBLANK('Portable Equip'!O$12),"",'Portable Equip'!O$12)</f>
        <v/>
      </c>
      <c r="E165" s="18">
        <v>20</v>
      </c>
      <c r="F165" s="18" t="str">
        <f>IF(ISBLANK('Portable Equip'!N$30),"new_ID",start)</f>
        <v>new_ID</v>
      </c>
      <c r="G165" s="111" t="s">
        <v>93</v>
      </c>
    </row>
    <row r="166" spans="1:7" x14ac:dyDescent="0.2">
      <c r="A166" s="18">
        <f t="shared" ref="A166:A193" si="4">start</f>
        <v>0</v>
      </c>
      <c r="B166" s="18">
        <f>O1</f>
        <v>2024</v>
      </c>
      <c r="C166" s="110">
        <f>'Portable Equip'!N$13</f>
        <v>7872</v>
      </c>
      <c r="D166" s="110" t="str">
        <f>IF(ISBLANK('Portable Equip'!O$13),"",'Portable Equip'!O$13)</f>
        <v/>
      </c>
      <c r="E166" s="18">
        <v>20</v>
      </c>
      <c r="F166" s="18" t="str">
        <f>IF(ISBLANK('Portable Equip'!N$30),"new_ID",start)</f>
        <v>new_ID</v>
      </c>
      <c r="G166" s="111" t="s">
        <v>93</v>
      </c>
    </row>
    <row r="167" spans="1:7" x14ac:dyDescent="0.2">
      <c r="A167" s="18">
        <f t="shared" si="4"/>
        <v>0</v>
      </c>
      <c r="B167" s="18">
        <f>O1</f>
        <v>2024</v>
      </c>
      <c r="C167" s="110">
        <f>'Portable Equip'!N$14</f>
        <v>7873</v>
      </c>
      <c r="D167" s="110" t="str">
        <f>IF(ISBLANK('Portable Equip'!O$14),"",'Portable Equip'!O$14)</f>
        <v/>
      </c>
      <c r="E167" s="18">
        <v>20</v>
      </c>
      <c r="F167" s="18" t="str">
        <f>IF(ISBLANK('Portable Equip'!N$30),"new_ID",start)</f>
        <v>new_ID</v>
      </c>
      <c r="G167" s="111" t="s">
        <v>93</v>
      </c>
    </row>
    <row r="168" spans="1:7" x14ac:dyDescent="0.2">
      <c r="A168" s="18">
        <f t="shared" si="4"/>
        <v>0</v>
      </c>
      <c r="B168" s="18">
        <f>O1</f>
        <v>2024</v>
      </c>
      <c r="C168" s="110">
        <f>'Portable Equip'!N$15</f>
        <v>7874</v>
      </c>
      <c r="D168" s="456" t="str">
        <f>IF(OR('Portable Equip'!O$15=0,ISBLANK('Portable Equip'!O$15)),"",'Portable Equip'!O$15)</f>
        <v/>
      </c>
      <c r="E168" s="18">
        <v>20</v>
      </c>
      <c r="F168" s="18" t="str">
        <f>IF(ISBLANK('Portable Equip'!N$30),"new_ID",start)</f>
        <v>new_ID</v>
      </c>
      <c r="G168" s="111" t="s">
        <v>93</v>
      </c>
    </row>
    <row r="169" spans="1:7" x14ac:dyDescent="0.2">
      <c r="A169" s="18">
        <f t="shared" si="4"/>
        <v>0</v>
      </c>
      <c r="B169" s="18">
        <f>O1</f>
        <v>2024</v>
      </c>
      <c r="C169" s="110">
        <f>'Portable Equip'!N$16</f>
        <v>7875</v>
      </c>
      <c r="D169" s="110" t="str">
        <f>IF(ISBLANK('Portable Equip'!O$16),"",'Portable Equip'!O$16)</f>
        <v/>
      </c>
      <c r="E169" s="18">
        <v>20</v>
      </c>
      <c r="F169" s="18" t="str">
        <f>IF(ISBLANK('Portable Equip'!N$30),"new_ID",start)</f>
        <v>new_ID</v>
      </c>
      <c r="G169" s="111" t="s">
        <v>93</v>
      </c>
    </row>
    <row r="170" spans="1:7" hidden="1" x14ac:dyDescent="0.2">
      <c r="C170" s="110"/>
      <c r="D170" s="110"/>
      <c r="G170" s="111" t="s">
        <v>93</v>
      </c>
    </row>
    <row r="171" spans="1:7" x14ac:dyDescent="0.2">
      <c r="A171" s="18">
        <f t="shared" si="4"/>
        <v>0</v>
      </c>
      <c r="B171" s="18">
        <f>O1</f>
        <v>2024</v>
      </c>
      <c r="C171" s="110">
        <f>'Portable Equip'!N$18</f>
        <v>7877</v>
      </c>
      <c r="D171" s="110" t="str">
        <f>IF(ISBLANK('Portable Equip'!O$18),"",'Portable Equip'!O$18)</f>
        <v/>
      </c>
      <c r="E171" s="18">
        <v>20</v>
      </c>
      <c r="F171" s="18" t="str">
        <f>IF(ISBLANK('Portable Equip'!N$30),"new_ID",start)</f>
        <v>new_ID</v>
      </c>
      <c r="G171" s="111" t="s">
        <v>93</v>
      </c>
    </row>
    <row r="172" spans="1:7" x14ac:dyDescent="0.2">
      <c r="A172" s="18">
        <f t="shared" si="4"/>
        <v>0</v>
      </c>
      <c r="B172" s="18">
        <f>O1</f>
        <v>2024</v>
      </c>
      <c r="C172" s="110">
        <f>'Portable Equip'!N$19</f>
        <v>7878</v>
      </c>
      <c r="D172" s="456" t="str">
        <f>IF(OR('Portable Equip'!O$19=0,ISBLANK('Portable Equip'!O$19)),"",'Portable Equip'!O$19)</f>
        <v/>
      </c>
      <c r="E172" s="18">
        <v>20</v>
      </c>
      <c r="F172" s="18" t="str">
        <f>IF(ISBLANK('Portable Equip'!N$30),"new_ID",start)</f>
        <v>new_ID</v>
      </c>
      <c r="G172" s="111" t="s">
        <v>93</v>
      </c>
    </row>
    <row r="173" spans="1:7" x14ac:dyDescent="0.2">
      <c r="A173" s="18">
        <f t="shared" si="4"/>
        <v>0</v>
      </c>
      <c r="B173" s="18">
        <f>O1</f>
        <v>2024</v>
      </c>
      <c r="C173" s="110">
        <f>'Portable Equip'!Q$5</f>
        <v>7879</v>
      </c>
      <c r="D173" s="110" t="str">
        <f>IF(ISBLANK('Portable Equip'!R$5),"",'Portable Equip'!R$5)</f>
        <v/>
      </c>
      <c r="E173" s="18">
        <v>20</v>
      </c>
      <c r="F173" s="18" t="str">
        <f>IF(ISBLANK('Portable Equip'!Q$30),"new_ID",start)</f>
        <v>new_ID</v>
      </c>
      <c r="G173" s="118" t="s">
        <v>93</v>
      </c>
    </row>
    <row r="174" spans="1:7" x14ac:dyDescent="0.2">
      <c r="A174" s="18">
        <f t="shared" si="4"/>
        <v>0</v>
      </c>
      <c r="B174" s="18">
        <f>O1</f>
        <v>2024</v>
      </c>
      <c r="C174" s="110">
        <f>'Portable Equip'!Q$6</f>
        <v>7880</v>
      </c>
      <c r="D174" s="110" t="str">
        <f>IF(ISBLANK('Portable Equip'!R$6),"",'Portable Equip'!R$6)</f>
        <v/>
      </c>
      <c r="E174" s="18">
        <v>20</v>
      </c>
      <c r="F174" s="18" t="str">
        <f>IF(ISBLANK('Portable Equip'!Q$30),"new_ID",start)</f>
        <v>new_ID</v>
      </c>
      <c r="G174" s="111" t="s">
        <v>93</v>
      </c>
    </row>
    <row r="175" spans="1:7" x14ac:dyDescent="0.2">
      <c r="A175" s="18">
        <f t="shared" si="4"/>
        <v>0</v>
      </c>
      <c r="B175" s="18">
        <f>O1</f>
        <v>2024</v>
      </c>
      <c r="C175" s="110">
        <f>'Portable Equip'!Q$7</f>
        <v>7881</v>
      </c>
      <c r="D175" s="110" t="str">
        <f>IF(ISBLANK('Portable Equip'!R$7),"",'Portable Equip'!R$7)</f>
        <v/>
      </c>
      <c r="E175" s="18">
        <v>20</v>
      </c>
      <c r="F175" s="18" t="str">
        <f>IF(ISBLANK('Portable Equip'!Q$30),"new_ID",start)</f>
        <v>new_ID</v>
      </c>
      <c r="G175" s="111" t="s">
        <v>93</v>
      </c>
    </row>
    <row r="176" spans="1:7" x14ac:dyDescent="0.2">
      <c r="A176" s="18">
        <f t="shared" si="4"/>
        <v>0</v>
      </c>
      <c r="B176" s="18">
        <f>O1</f>
        <v>2024</v>
      </c>
      <c r="C176" s="110">
        <f>'Portable Equip'!Q$8</f>
        <v>7882</v>
      </c>
      <c r="D176" s="110" t="str">
        <f>IF(ISBLANK('Portable Equip'!R$8),"",'Portable Equip'!R$8)</f>
        <v/>
      </c>
      <c r="E176" s="18">
        <v>20</v>
      </c>
      <c r="F176" s="18" t="str">
        <f>IF(ISBLANK('Portable Equip'!Q$30),"new_ID",start)</f>
        <v>new_ID</v>
      </c>
      <c r="G176" s="111" t="s">
        <v>93</v>
      </c>
    </row>
    <row r="177" spans="1:7" x14ac:dyDescent="0.2">
      <c r="A177" s="18">
        <f t="shared" si="4"/>
        <v>0</v>
      </c>
      <c r="B177" s="18">
        <f>O1</f>
        <v>2024</v>
      </c>
      <c r="C177" s="110">
        <f>'Portable Equip'!Q$9</f>
        <v>7883</v>
      </c>
      <c r="D177" s="110" t="str">
        <f>IF(ISBLANK('Portable Equip'!R$9),"",'Portable Equip'!R$9)</f>
        <v/>
      </c>
      <c r="E177" s="18">
        <v>20</v>
      </c>
      <c r="F177" s="18" t="str">
        <f>IF(ISBLANK('Portable Equip'!Q$30),"new_ID",start)</f>
        <v>new_ID</v>
      </c>
      <c r="G177" s="111" t="s">
        <v>93</v>
      </c>
    </row>
    <row r="178" spans="1:7" x14ac:dyDescent="0.2">
      <c r="A178" s="18">
        <f t="shared" si="4"/>
        <v>0</v>
      </c>
      <c r="B178" s="18">
        <f>O1</f>
        <v>2024</v>
      </c>
      <c r="C178" s="110">
        <f>'Portable Equip'!Q$10</f>
        <v>7884</v>
      </c>
      <c r="D178" s="110" t="str">
        <f>IF(ISBLANK('Portable Equip'!R$10),"",'Portable Equip'!R$10)</f>
        <v/>
      </c>
      <c r="E178" s="18">
        <v>20</v>
      </c>
      <c r="F178" s="18" t="str">
        <f>IF(ISBLANK('Portable Equip'!Q$30),"new_ID",start)</f>
        <v>new_ID</v>
      </c>
      <c r="G178" s="111" t="s">
        <v>93</v>
      </c>
    </row>
    <row r="179" spans="1:7" x14ac:dyDescent="0.2">
      <c r="A179" s="18">
        <f t="shared" si="4"/>
        <v>0</v>
      </c>
      <c r="B179" s="18">
        <f>O1</f>
        <v>2024</v>
      </c>
      <c r="C179" s="110">
        <f>'Portable Equip'!Q$11</f>
        <v>7885</v>
      </c>
      <c r="D179" s="110" t="str">
        <f>IF(ISBLANK('Portable Equip'!R$11),"",'Portable Equip'!R$11)</f>
        <v/>
      </c>
      <c r="E179" s="18">
        <v>20</v>
      </c>
      <c r="F179" s="18" t="str">
        <f>IF(ISBLANK('Portable Equip'!Q$30),"new_ID",start)</f>
        <v>new_ID</v>
      </c>
      <c r="G179" s="111" t="s">
        <v>93</v>
      </c>
    </row>
    <row r="180" spans="1:7" x14ac:dyDescent="0.2">
      <c r="A180" s="18">
        <f t="shared" si="4"/>
        <v>0</v>
      </c>
      <c r="B180" s="18">
        <f>O1</f>
        <v>2024</v>
      </c>
      <c r="C180" s="110">
        <f>'Portable Equip'!Q$12</f>
        <v>7886</v>
      </c>
      <c r="D180" s="110" t="str">
        <f>IF(ISBLANK('Portable Equip'!R$12),"",'Portable Equip'!R$12)</f>
        <v/>
      </c>
      <c r="E180" s="18">
        <v>20</v>
      </c>
      <c r="F180" s="18" t="str">
        <f>IF(ISBLANK('Portable Equip'!Q$30),"new_ID",start)</f>
        <v>new_ID</v>
      </c>
      <c r="G180" s="111" t="s">
        <v>93</v>
      </c>
    </row>
    <row r="181" spans="1:7" x14ac:dyDescent="0.2">
      <c r="A181" s="18">
        <f t="shared" si="4"/>
        <v>0</v>
      </c>
      <c r="B181" s="18">
        <f>O1</f>
        <v>2024</v>
      </c>
      <c r="C181" s="110">
        <f>'Portable Equip'!Q$13</f>
        <v>7887</v>
      </c>
      <c r="D181" s="110" t="str">
        <f>IF(ISBLANK('Portable Equip'!R$13),"",'Portable Equip'!R$13)</f>
        <v/>
      </c>
      <c r="E181" s="18">
        <v>20</v>
      </c>
      <c r="F181" s="18" t="str">
        <f>IF(ISBLANK('Portable Equip'!Q$30),"new_ID",start)</f>
        <v>new_ID</v>
      </c>
      <c r="G181" s="111" t="s">
        <v>93</v>
      </c>
    </row>
    <row r="182" spans="1:7" x14ac:dyDescent="0.2">
      <c r="A182" s="18">
        <f t="shared" si="4"/>
        <v>0</v>
      </c>
      <c r="B182" s="18">
        <f>O1</f>
        <v>2024</v>
      </c>
      <c r="C182" s="110">
        <f>'Portable Equip'!Q$14</f>
        <v>7888</v>
      </c>
      <c r="D182" s="110" t="str">
        <f>IF(ISBLANK('Portable Equip'!R$14),"",'Portable Equip'!R$14)</f>
        <v/>
      </c>
      <c r="E182" s="18">
        <v>20</v>
      </c>
      <c r="F182" s="18" t="str">
        <f>IF(ISBLANK('Portable Equip'!Q$30),"new_ID",start)</f>
        <v>new_ID</v>
      </c>
      <c r="G182" s="111" t="s">
        <v>93</v>
      </c>
    </row>
    <row r="183" spans="1:7" x14ac:dyDescent="0.2">
      <c r="A183" s="18">
        <f t="shared" si="4"/>
        <v>0</v>
      </c>
      <c r="B183" s="18">
        <f>O1</f>
        <v>2024</v>
      </c>
      <c r="C183" s="110">
        <f>'Portable Equip'!Q$15</f>
        <v>7889</v>
      </c>
      <c r="D183" s="456" t="str">
        <f>IF(OR('Portable Equip'!R$15=0,ISBLANK('Portable Equip'!R$15)),"",'Portable Equip'!R$15)</f>
        <v/>
      </c>
      <c r="E183" s="18">
        <v>20</v>
      </c>
      <c r="F183" s="18" t="str">
        <f>IF(ISBLANK('Portable Equip'!Q$30),"new_ID",start)</f>
        <v>new_ID</v>
      </c>
      <c r="G183" s="111" t="s">
        <v>93</v>
      </c>
    </row>
    <row r="184" spans="1:7" x14ac:dyDescent="0.2">
      <c r="A184" s="18">
        <f t="shared" si="4"/>
        <v>0</v>
      </c>
      <c r="B184" s="18">
        <f>O1</f>
        <v>2024</v>
      </c>
      <c r="C184" s="110">
        <f>'Portable Equip'!Q$16</f>
        <v>7890</v>
      </c>
      <c r="D184" s="110" t="str">
        <f>IF(ISBLANK('Portable Equip'!R$16),"",'Portable Equip'!R$16)</f>
        <v/>
      </c>
      <c r="E184" s="18">
        <v>20</v>
      </c>
      <c r="F184" s="18" t="str">
        <f>IF(ISBLANK('Portable Equip'!Q$30),"new_ID",start)</f>
        <v>new_ID</v>
      </c>
      <c r="G184" s="111" t="s">
        <v>93</v>
      </c>
    </row>
    <row r="185" spans="1:7" hidden="1" x14ac:dyDescent="0.2">
      <c r="C185" s="110"/>
      <c r="D185" s="110"/>
      <c r="G185" s="111" t="s">
        <v>93</v>
      </c>
    </row>
    <row r="186" spans="1:7" x14ac:dyDescent="0.2">
      <c r="A186" s="18">
        <f t="shared" si="4"/>
        <v>0</v>
      </c>
      <c r="B186" s="18">
        <f>O1</f>
        <v>2024</v>
      </c>
      <c r="C186" s="110">
        <f>'Portable Equip'!Q$18</f>
        <v>7892</v>
      </c>
      <c r="D186" s="110" t="str">
        <f>IF(ISBLANK('Portable Equip'!R$18),"",'Portable Equip'!R$18)</f>
        <v/>
      </c>
      <c r="E186" s="18">
        <v>20</v>
      </c>
      <c r="F186" s="18" t="str">
        <f>IF(ISBLANK('Portable Equip'!Q$30),"new_ID",start)</f>
        <v>new_ID</v>
      </c>
      <c r="G186" s="111" t="s">
        <v>93</v>
      </c>
    </row>
    <row r="187" spans="1:7" x14ac:dyDescent="0.2">
      <c r="A187" s="18">
        <f t="shared" si="4"/>
        <v>0</v>
      </c>
      <c r="B187" s="18">
        <f>O1</f>
        <v>2024</v>
      </c>
      <c r="C187" s="110">
        <f>'Portable Equip'!Q$19</f>
        <v>7893</v>
      </c>
      <c r="D187" s="456" t="str">
        <f>IF(OR('Portable Equip'!R$19=0,ISBLANK('Portable Equip'!R$19)),"",'Portable Equip'!R$19)</f>
        <v/>
      </c>
      <c r="E187" s="18">
        <v>20</v>
      </c>
      <c r="F187" s="18" t="str">
        <f>IF(ISBLANK('Portable Equip'!Q$30),"new_ID",start)</f>
        <v>new_ID</v>
      </c>
      <c r="G187" s="111" t="s">
        <v>93</v>
      </c>
    </row>
    <row r="188" spans="1:7" x14ac:dyDescent="0.2">
      <c r="A188" s="18">
        <f t="shared" si="4"/>
        <v>0</v>
      </c>
      <c r="B188" s="18">
        <f>O1</f>
        <v>2024</v>
      </c>
      <c r="C188" s="110">
        <f>'Portable Equip'!B$24</f>
        <v>7894</v>
      </c>
      <c r="D188" s="110" t="str">
        <f>IF(ISBLANK('Portable Equip'!C$24),"",'Portable Equip'!C$24)</f>
        <v/>
      </c>
      <c r="E188" s="18">
        <v>20</v>
      </c>
      <c r="F188" s="18" t="str">
        <f>IF(ISBLANK('Portable Equip'!B$30),"new_ID",start)</f>
        <v>new_ID</v>
      </c>
      <c r="G188" s="118" t="s">
        <v>93</v>
      </c>
    </row>
    <row r="189" spans="1:7" x14ac:dyDescent="0.2">
      <c r="A189" s="18">
        <f t="shared" si="4"/>
        <v>0</v>
      </c>
      <c r="B189" s="18">
        <f>O1</f>
        <v>2024</v>
      </c>
      <c r="C189" s="110">
        <f>'Portable Equip'!E$24</f>
        <v>7895</v>
      </c>
      <c r="D189" s="110" t="str">
        <f>IF(ISBLANK('Portable Equip'!F$24),"",'Portable Equip'!F$24)</f>
        <v/>
      </c>
      <c r="E189" s="18">
        <v>20</v>
      </c>
      <c r="F189" s="18" t="str">
        <f>IF(ISBLANK('Portable Equip'!E$30),"new_ID",start)</f>
        <v>new_ID</v>
      </c>
      <c r="G189" s="118" t="s">
        <v>93</v>
      </c>
    </row>
    <row r="190" spans="1:7" x14ac:dyDescent="0.2">
      <c r="A190" s="18">
        <f t="shared" si="4"/>
        <v>0</v>
      </c>
      <c r="B190" s="18">
        <f>O1</f>
        <v>2024</v>
      </c>
      <c r="C190" s="110">
        <f>'Portable Equip'!H$24</f>
        <v>7896</v>
      </c>
      <c r="D190" s="110" t="str">
        <f>IF(ISBLANK('Portable Equip'!I$24),"",'Portable Equip'!I$24)</f>
        <v/>
      </c>
      <c r="E190" s="18">
        <v>20</v>
      </c>
      <c r="F190" s="18" t="str">
        <f>IF(ISBLANK('Portable Equip'!H$30),"new_ID",start)</f>
        <v>new_ID</v>
      </c>
      <c r="G190" s="118" t="s">
        <v>93</v>
      </c>
    </row>
    <row r="191" spans="1:7" x14ac:dyDescent="0.2">
      <c r="A191" s="18">
        <f t="shared" si="4"/>
        <v>0</v>
      </c>
      <c r="B191" s="18">
        <f>O1</f>
        <v>2024</v>
      </c>
      <c r="C191" s="110">
        <f>'Portable Equip'!K$24</f>
        <v>7897</v>
      </c>
      <c r="D191" s="110" t="str">
        <f>IF(ISBLANK('Portable Equip'!L$24),"",'Portable Equip'!L$24)</f>
        <v/>
      </c>
      <c r="E191" s="18">
        <v>20</v>
      </c>
      <c r="F191" s="18" t="str">
        <f>IF(ISBLANK('Portable Equip'!K$30),"new_ID",start)</f>
        <v>new_ID</v>
      </c>
      <c r="G191" s="118" t="s">
        <v>93</v>
      </c>
    </row>
    <row r="192" spans="1:7" x14ac:dyDescent="0.2">
      <c r="A192" s="18">
        <f t="shared" si="4"/>
        <v>0</v>
      </c>
      <c r="B192" s="18">
        <f>O1</f>
        <v>2024</v>
      </c>
      <c r="C192" s="110">
        <f>'Portable Equip'!N$24</f>
        <v>7898</v>
      </c>
      <c r="D192" s="110" t="str">
        <f>IF(ISBLANK('Portable Equip'!O$24),"",'Portable Equip'!O$24)</f>
        <v/>
      </c>
      <c r="E192" s="18">
        <v>20</v>
      </c>
      <c r="F192" s="18" t="str">
        <f>IF(ISBLANK('Portable Equip'!N$30),"new_ID",start)</f>
        <v>new_ID</v>
      </c>
      <c r="G192" s="118" t="s">
        <v>93</v>
      </c>
    </row>
    <row r="193" spans="1:7" x14ac:dyDescent="0.2">
      <c r="A193" s="18">
        <f t="shared" si="4"/>
        <v>0</v>
      </c>
      <c r="B193" s="18">
        <f>O1</f>
        <v>2024</v>
      </c>
      <c r="C193" s="110">
        <f>'Portable Equip'!Q$24</f>
        <v>7899</v>
      </c>
      <c r="D193" s="110" t="str">
        <f>IF(ISBLANK('Portable Equip'!R$24),"",'Portable Equip'!R$24)</f>
        <v/>
      </c>
      <c r="E193" s="18">
        <v>20</v>
      </c>
      <c r="F193" s="18" t="str">
        <f>IF(ISBLANK('Portable Equip'!Q$30),"new_ID",start)</f>
        <v>new_ID</v>
      </c>
      <c r="G193" s="118" t="s">
        <v>93</v>
      </c>
    </row>
    <row r="194" spans="1:7" x14ac:dyDescent="0.2">
      <c r="A194" s="18">
        <f>start</f>
        <v>0</v>
      </c>
      <c r="B194" s="18">
        <f>O1</f>
        <v>2024</v>
      </c>
      <c r="C194" s="110">
        <f>'Mobile Equip'!B$5</f>
        <v>7900</v>
      </c>
      <c r="D194" s="110" t="str">
        <f>IF(ISBLANK('Mobile Equip'!C$5),"",'Mobile Equip'!C$5)</f>
        <v/>
      </c>
      <c r="E194" s="18">
        <v>20</v>
      </c>
      <c r="F194" s="18" t="str">
        <f>IF(ISBLANK('Mobile Equip'!B$30),"new_ID",start)</f>
        <v>new_ID</v>
      </c>
      <c r="G194" s="117" t="s">
        <v>125</v>
      </c>
    </row>
    <row r="195" spans="1:7" x14ac:dyDescent="0.2">
      <c r="A195" s="18">
        <f>start</f>
        <v>0</v>
      </c>
      <c r="B195" s="18">
        <f>O1</f>
        <v>2024</v>
      </c>
      <c r="C195" s="110">
        <f>'Mobile Equip'!B$6</f>
        <v>7901</v>
      </c>
      <c r="D195" s="110" t="str">
        <f>IF(ISBLANK('Mobile Equip'!C$6),"",'Mobile Equip'!C$6)</f>
        <v/>
      </c>
      <c r="E195" s="18">
        <v>20</v>
      </c>
      <c r="F195" s="18" t="str">
        <f>IF(ISBLANK('Mobile Equip'!B$30),"new_ID",start)</f>
        <v>new_ID</v>
      </c>
      <c r="G195" s="111" t="s">
        <v>94</v>
      </c>
    </row>
    <row r="196" spans="1:7" x14ac:dyDescent="0.2">
      <c r="A196" s="18">
        <f>start</f>
        <v>0</v>
      </c>
      <c r="B196" s="18">
        <f>O1</f>
        <v>2024</v>
      </c>
      <c r="C196" s="110">
        <f>'Mobile Equip'!B$7</f>
        <v>7902</v>
      </c>
      <c r="D196" s="110" t="str">
        <f>IF(ISBLANK('Mobile Equip'!C$7),"",'Mobile Equip'!C$7)</f>
        <v/>
      </c>
      <c r="E196" s="18">
        <v>20</v>
      </c>
      <c r="F196" s="18" t="str">
        <f>IF(ISBLANK('Mobile Equip'!B$30),"new_ID",start)</f>
        <v>new_ID</v>
      </c>
      <c r="G196" s="111" t="s">
        <v>94</v>
      </c>
    </row>
    <row r="197" spans="1:7" x14ac:dyDescent="0.2">
      <c r="A197" s="18">
        <f>start</f>
        <v>0</v>
      </c>
      <c r="B197" s="18">
        <f>O1</f>
        <v>2024</v>
      </c>
      <c r="C197" s="110">
        <f>'Mobile Equip'!B$8</f>
        <v>7903</v>
      </c>
      <c r="D197" s="110" t="str">
        <f>IF(ISBLANK('Mobile Equip'!C$8),"",'Mobile Equip'!C$8)</f>
        <v/>
      </c>
      <c r="E197" s="18">
        <v>20</v>
      </c>
      <c r="F197" s="18" t="str">
        <f>IF(ISBLANK('Mobile Equip'!B$30),"new_ID",start)</f>
        <v>new_ID</v>
      </c>
      <c r="G197" s="111" t="s">
        <v>94</v>
      </c>
    </row>
    <row r="198" spans="1:7" x14ac:dyDescent="0.2">
      <c r="A198" s="18">
        <f t="shared" ref="A198:A261" si="5">start</f>
        <v>0</v>
      </c>
      <c r="B198" s="18">
        <f>O1</f>
        <v>2024</v>
      </c>
      <c r="C198" s="110">
        <f>'Mobile Equip'!B$9</f>
        <v>7904</v>
      </c>
      <c r="D198" s="110" t="str">
        <f>IF(ISBLANK('Mobile Equip'!C$9),"",'Mobile Equip'!C$9)</f>
        <v/>
      </c>
      <c r="E198" s="18">
        <v>20</v>
      </c>
      <c r="F198" s="18" t="str">
        <f>IF(ISBLANK('Mobile Equip'!B$30),"new_ID",start)</f>
        <v>new_ID</v>
      </c>
      <c r="G198" s="111" t="s">
        <v>94</v>
      </c>
    </row>
    <row r="199" spans="1:7" x14ac:dyDescent="0.2">
      <c r="A199" s="18">
        <f t="shared" si="5"/>
        <v>0</v>
      </c>
      <c r="B199" s="18">
        <f>O1</f>
        <v>2024</v>
      </c>
      <c r="C199" s="110">
        <f>'Mobile Equip'!B$10</f>
        <v>7905</v>
      </c>
      <c r="D199" s="110" t="str">
        <f>IF(ISBLANK('Mobile Equip'!C$10),"",'Mobile Equip'!C$10)</f>
        <v/>
      </c>
      <c r="E199" s="18">
        <v>20</v>
      </c>
      <c r="F199" s="18" t="str">
        <f>IF(ISBLANK('Mobile Equip'!B$30),"new_ID",start)</f>
        <v>new_ID</v>
      </c>
      <c r="G199" s="111" t="s">
        <v>94</v>
      </c>
    </row>
    <row r="200" spans="1:7" x14ac:dyDescent="0.2">
      <c r="A200" s="18">
        <f t="shared" si="5"/>
        <v>0</v>
      </c>
      <c r="B200" s="18">
        <f>O1</f>
        <v>2024</v>
      </c>
      <c r="C200" s="110">
        <f>'Mobile Equip'!B$11</f>
        <v>7906</v>
      </c>
      <c r="D200" s="110" t="str">
        <f>IF(ISBLANK('Mobile Equip'!C$11),"",'Mobile Equip'!C$11)</f>
        <v/>
      </c>
      <c r="E200" s="18">
        <v>20</v>
      </c>
      <c r="F200" s="18" t="str">
        <f>IF(ISBLANK('Mobile Equip'!B$30),"new_ID",start)</f>
        <v>new_ID</v>
      </c>
      <c r="G200" s="111" t="s">
        <v>94</v>
      </c>
    </row>
    <row r="201" spans="1:7" x14ac:dyDescent="0.2">
      <c r="A201" s="18">
        <f t="shared" si="5"/>
        <v>0</v>
      </c>
      <c r="B201" s="18">
        <f>O1</f>
        <v>2024</v>
      </c>
      <c r="C201" s="110">
        <f>'Mobile Equip'!B$12</f>
        <v>7907</v>
      </c>
      <c r="D201" s="110" t="str">
        <f>IF(ISBLANK('Mobile Equip'!C$12),"",'Mobile Equip'!C$12)</f>
        <v/>
      </c>
      <c r="E201" s="18">
        <v>20</v>
      </c>
      <c r="F201" s="18" t="str">
        <f>IF(ISBLANK('Mobile Equip'!B$30),"new_ID",start)</f>
        <v>new_ID</v>
      </c>
      <c r="G201" s="111" t="s">
        <v>94</v>
      </c>
    </row>
    <row r="202" spans="1:7" x14ac:dyDescent="0.2">
      <c r="A202" s="18">
        <f t="shared" si="5"/>
        <v>0</v>
      </c>
      <c r="B202" s="18">
        <f>O1</f>
        <v>2024</v>
      </c>
      <c r="C202" s="110">
        <f>'Mobile Equip'!B$13</f>
        <v>7908</v>
      </c>
      <c r="D202" s="110" t="str">
        <f>IF(ISBLANK('Mobile Equip'!C$13),"",'Mobile Equip'!C$13)</f>
        <v/>
      </c>
      <c r="E202" s="18">
        <v>20</v>
      </c>
      <c r="F202" s="18" t="str">
        <f>IF(ISBLANK('Mobile Equip'!B$30),"new_ID",start)</f>
        <v>new_ID</v>
      </c>
      <c r="G202" s="111" t="s">
        <v>94</v>
      </c>
    </row>
    <row r="203" spans="1:7" x14ac:dyDescent="0.2">
      <c r="A203" s="18">
        <f t="shared" si="5"/>
        <v>0</v>
      </c>
      <c r="B203" s="18">
        <f>O1</f>
        <v>2024</v>
      </c>
      <c r="C203" s="110">
        <f>'Mobile Equip'!B$14</f>
        <v>7909</v>
      </c>
      <c r="D203" s="110" t="str">
        <f>IF(ISBLANK('Mobile Equip'!C$14),"",'Mobile Equip'!C$14)</f>
        <v/>
      </c>
      <c r="E203" s="18">
        <v>20</v>
      </c>
      <c r="F203" s="18" t="str">
        <f>IF(ISBLANK('Mobile Equip'!B$30),"new_ID",start)</f>
        <v>new_ID</v>
      </c>
      <c r="G203" s="111" t="s">
        <v>94</v>
      </c>
    </row>
    <row r="204" spans="1:7" x14ac:dyDescent="0.2">
      <c r="A204" s="18">
        <f t="shared" si="5"/>
        <v>0</v>
      </c>
      <c r="B204" s="18">
        <f>O1</f>
        <v>2024</v>
      </c>
      <c r="C204" s="110">
        <f>'Mobile Equip'!B$15</f>
        <v>7910</v>
      </c>
      <c r="D204" s="456" t="str">
        <f>IF(OR('Mobile Equip'!C$15=0,ISBLANK('Mobile Equip'!C$15)),"",'Mobile Equip'!C$15)</f>
        <v/>
      </c>
      <c r="E204" s="18">
        <v>20</v>
      </c>
      <c r="F204" s="18" t="str">
        <f>IF(ISBLANK('Mobile Equip'!B$30),"new_ID",start)</f>
        <v>new_ID</v>
      </c>
      <c r="G204" s="111" t="s">
        <v>94</v>
      </c>
    </row>
    <row r="205" spans="1:7" x14ac:dyDescent="0.2">
      <c r="A205" s="18">
        <f t="shared" si="5"/>
        <v>0</v>
      </c>
      <c r="B205" s="18">
        <f>O1</f>
        <v>2024</v>
      </c>
      <c r="C205" s="110">
        <f>'Mobile Equip'!B$16</f>
        <v>7911</v>
      </c>
      <c r="D205" s="110" t="str">
        <f>IF(ISBLANK('Mobile Equip'!C$16),"",'Mobile Equip'!C$16)</f>
        <v/>
      </c>
      <c r="E205" s="18">
        <v>20</v>
      </c>
      <c r="F205" s="18" t="str">
        <f>IF(ISBLANK('Mobile Equip'!B$30),"new_ID",start)</f>
        <v>new_ID</v>
      </c>
      <c r="G205" s="111" t="s">
        <v>94</v>
      </c>
    </row>
    <row r="206" spans="1:7" hidden="1" x14ac:dyDescent="0.2">
      <c r="C206" s="110"/>
      <c r="D206" s="110"/>
      <c r="G206" s="111" t="s">
        <v>94</v>
      </c>
    </row>
    <row r="207" spans="1:7" x14ac:dyDescent="0.2">
      <c r="A207" s="18">
        <f t="shared" si="5"/>
        <v>0</v>
      </c>
      <c r="B207" s="18">
        <f>O1</f>
        <v>2024</v>
      </c>
      <c r="C207" s="110">
        <f>'Mobile Equip'!B$18</f>
        <v>7913</v>
      </c>
      <c r="D207" s="110" t="str">
        <f>IF(ISBLANK('Mobile Equip'!C$18),"",'Mobile Equip'!C$18)</f>
        <v/>
      </c>
      <c r="E207" s="18">
        <v>20</v>
      </c>
      <c r="F207" s="18" t="str">
        <f>IF(ISBLANK('Mobile Equip'!B$30),"new_ID",start)</f>
        <v>new_ID</v>
      </c>
      <c r="G207" s="111" t="s">
        <v>94</v>
      </c>
    </row>
    <row r="208" spans="1:7" x14ac:dyDescent="0.2">
      <c r="A208" s="18">
        <f t="shared" si="5"/>
        <v>0</v>
      </c>
      <c r="B208" s="18">
        <f>O1</f>
        <v>2024</v>
      </c>
      <c r="C208" s="110">
        <f>'Mobile Equip'!B$19</f>
        <v>7914</v>
      </c>
      <c r="D208" s="456" t="str">
        <f>IF(OR('Mobile Equip'!C$19=0,ISBLANK('Mobile Equip'!C$19)),"",'Mobile Equip'!C$19)</f>
        <v/>
      </c>
      <c r="E208" s="18">
        <v>20</v>
      </c>
      <c r="F208" s="18" t="str">
        <f>IF(ISBLANK('Mobile Equip'!B$30),"new_ID",start)</f>
        <v>new_ID</v>
      </c>
      <c r="G208" s="111" t="s">
        <v>94</v>
      </c>
    </row>
    <row r="209" spans="1:7" x14ac:dyDescent="0.2">
      <c r="A209" s="18">
        <f t="shared" si="5"/>
        <v>0</v>
      </c>
      <c r="B209" s="18">
        <f>O1</f>
        <v>2024</v>
      </c>
      <c r="C209" s="110">
        <f>'Mobile Equip'!E$5</f>
        <v>7915</v>
      </c>
      <c r="D209" s="110" t="str">
        <f>IF(ISBLANK('Mobile Equip'!F$5),"",'Mobile Equip'!F$5)</f>
        <v/>
      </c>
      <c r="E209" s="18">
        <v>20</v>
      </c>
      <c r="F209" s="18" t="str">
        <f>IF(ISBLANK('Mobile Equip'!E$30),"new_ID",start)</f>
        <v>new_ID</v>
      </c>
      <c r="G209" s="118" t="s">
        <v>94</v>
      </c>
    </row>
    <row r="210" spans="1:7" x14ac:dyDescent="0.2">
      <c r="A210" s="18">
        <f t="shared" si="5"/>
        <v>0</v>
      </c>
      <c r="B210" s="18">
        <f>O1</f>
        <v>2024</v>
      </c>
      <c r="C210" s="110">
        <f>'Mobile Equip'!E$6</f>
        <v>7916</v>
      </c>
      <c r="D210" s="110" t="str">
        <f>IF(ISBLANK('Mobile Equip'!F$6),"",'Mobile Equip'!F$6)</f>
        <v/>
      </c>
      <c r="E210" s="18">
        <v>20</v>
      </c>
      <c r="F210" s="18" t="str">
        <f>IF(ISBLANK('Mobile Equip'!E$30),"new_ID",start)</f>
        <v>new_ID</v>
      </c>
      <c r="G210" s="111" t="s">
        <v>94</v>
      </c>
    </row>
    <row r="211" spans="1:7" x14ac:dyDescent="0.2">
      <c r="A211" s="18">
        <f t="shared" si="5"/>
        <v>0</v>
      </c>
      <c r="B211" s="18">
        <f>O1</f>
        <v>2024</v>
      </c>
      <c r="C211" s="110">
        <f>'Mobile Equip'!E$7</f>
        <v>7917</v>
      </c>
      <c r="D211" s="110" t="str">
        <f>IF(ISBLANK('Mobile Equip'!F$7),"",'Mobile Equip'!F$7)</f>
        <v/>
      </c>
      <c r="E211" s="18">
        <v>20</v>
      </c>
      <c r="F211" s="18" t="str">
        <f>IF(ISBLANK('Mobile Equip'!E$30),"new_ID",start)</f>
        <v>new_ID</v>
      </c>
      <c r="G211" s="111" t="s">
        <v>94</v>
      </c>
    </row>
    <row r="212" spans="1:7" x14ac:dyDescent="0.2">
      <c r="A212" s="18">
        <f t="shared" si="5"/>
        <v>0</v>
      </c>
      <c r="B212" s="18">
        <f>O1</f>
        <v>2024</v>
      </c>
      <c r="C212" s="110">
        <f>'Mobile Equip'!E$8</f>
        <v>7918</v>
      </c>
      <c r="D212" s="110" t="str">
        <f>IF(ISBLANK('Mobile Equip'!F$8),"",'Mobile Equip'!F$8)</f>
        <v/>
      </c>
      <c r="E212" s="18">
        <v>20</v>
      </c>
      <c r="F212" s="18" t="str">
        <f>IF(ISBLANK('Mobile Equip'!E$30),"new_ID",start)</f>
        <v>new_ID</v>
      </c>
      <c r="G212" s="111" t="s">
        <v>94</v>
      </c>
    </row>
    <row r="213" spans="1:7" x14ac:dyDescent="0.2">
      <c r="A213" s="18">
        <f t="shared" si="5"/>
        <v>0</v>
      </c>
      <c r="B213" s="18">
        <f>O1</f>
        <v>2024</v>
      </c>
      <c r="C213" s="110">
        <f>'Mobile Equip'!E$9</f>
        <v>7919</v>
      </c>
      <c r="D213" s="110" t="str">
        <f>IF(ISBLANK('Mobile Equip'!F$9),"",'Mobile Equip'!F$9)</f>
        <v/>
      </c>
      <c r="E213" s="18">
        <v>20</v>
      </c>
      <c r="F213" s="18" t="str">
        <f>IF(ISBLANK('Mobile Equip'!E$30),"new_ID",start)</f>
        <v>new_ID</v>
      </c>
      <c r="G213" s="111" t="s">
        <v>94</v>
      </c>
    </row>
    <row r="214" spans="1:7" x14ac:dyDescent="0.2">
      <c r="A214" s="18">
        <f t="shared" si="5"/>
        <v>0</v>
      </c>
      <c r="B214" s="18">
        <f>O1</f>
        <v>2024</v>
      </c>
      <c r="C214" s="110">
        <f>'Mobile Equip'!E$10</f>
        <v>7920</v>
      </c>
      <c r="D214" s="110" t="str">
        <f>IF(ISBLANK('Mobile Equip'!F$10),"",'Mobile Equip'!F$10)</f>
        <v/>
      </c>
      <c r="E214" s="18">
        <v>20</v>
      </c>
      <c r="F214" s="18" t="str">
        <f>IF(ISBLANK('Mobile Equip'!E$30),"new_ID",start)</f>
        <v>new_ID</v>
      </c>
      <c r="G214" s="111" t="s">
        <v>94</v>
      </c>
    </row>
    <row r="215" spans="1:7" x14ac:dyDescent="0.2">
      <c r="A215" s="18">
        <f t="shared" si="5"/>
        <v>0</v>
      </c>
      <c r="B215" s="18">
        <f>O1</f>
        <v>2024</v>
      </c>
      <c r="C215" s="110">
        <f>'Mobile Equip'!E$11</f>
        <v>7921</v>
      </c>
      <c r="D215" s="110" t="str">
        <f>IF(ISBLANK('Mobile Equip'!F$11),"",'Mobile Equip'!F$11)</f>
        <v/>
      </c>
      <c r="E215" s="18">
        <v>20</v>
      </c>
      <c r="F215" s="18" t="str">
        <f>IF(ISBLANK('Mobile Equip'!E$30),"new_ID",start)</f>
        <v>new_ID</v>
      </c>
      <c r="G215" s="111" t="s">
        <v>94</v>
      </c>
    </row>
    <row r="216" spans="1:7" x14ac:dyDescent="0.2">
      <c r="A216" s="18">
        <f t="shared" si="5"/>
        <v>0</v>
      </c>
      <c r="B216" s="18">
        <f>O1</f>
        <v>2024</v>
      </c>
      <c r="C216" s="110">
        <f>'Mobile Equip'!E$12</f>
        <v>7922</v>
      </c>
      <c r="D216" s="110" t="str">
        <f>IF(ISBLANK('Mobile Equip'!F$12),"",'Mobile Equip'!F$12)</f>
        <v/>
      </c>
      <c r="E216" s="18">
        <v>20</v>
      </c>
      <c r="F216" s="18" t="str">
        <f>IF(ISBLANK('Mobile Equip'!E$30),"new_ID",start)</f>
        <v>new_ID</v>
      </c>
      <c r="G216" s="111" t="s">
        <v>94</v>
      </c>
    </row>
    <row r="217" spans="1:7" x14ac:dyDescent="0.2">
      <c r="A217" s="18">
        <f t="shared" si="5"/>
        <v>0</v>
      </c>
      <c r="B217" s="18">
        <f>O1</f>
        <v>2024</v>
      </c>
      <c r="C217" s="110">
        <f>'Mobile Equip'!E$13</f>
        <v>7923</v>
      </c>
      <c r="D217" s="110" t="str">
        <f>IF(ISBLANK('Mobile Equip'!F$13),"",'Mobile Equip'!F$13)</f>
        <v/>
      </c>
      <c r="E217" s="18">
        <v>20</v>
      </c>
      <c r="F217" s="18" t="str">
        <f>IF(ISBLANK('Mobile Equip'!E$30),"new_ID",start)</f>
        <v>new_ID</v>
      </c>
      <c r="G217" s="111" t="s">
        <v>94</v>
      </c>
    </row>
    <row r="218" spans="1:7" x14ac:dyDescent="0.2">
      <c r="A218" s="18">
        <f t="shared" si="5"/>
        <v>0</v>
      </c>
      <c r="B218" s="18">
        <f>O1</f>
        <v>2024</v>
      </c>
      <c r="C218" s="110">
        <f>'Mobile Equip'!E$14</f>
        <v>7924</v>
      </c>
      <c r="D218" s="110" t="str">
        <f>IF(ISBLANK('Mobile Equip'!F$14),"",'Mobile Equip'!F$14)</f>
        <v/>
      </c>
      <c r="E218" s="18">
        <v>20</v>
      </c>
      <c r="F218" s="18" t="str">
        <f>IF(ISBLANK('Mobile Equip'!E$30),"new_ID",start)</f>
        <v>new_ID</v>
      </c>
      <c r="G218" s="111" t="s">
        <v>94</v>
      </c>
    </row>
    <row r="219" spans="1:7" x14ac:dyDescent="0.2">
      <c r="A219" s="18">
        <f t="shared" si="5"/>
        <v>0</v>
      </c>
      <c r="B219" s="18">
        <f>O1</f>
        <v>2024</v>
      </c>
      <c r="C219" s="110">
        <f>'Mobile Equip'!E$15</f>
        <v>7925</v>
      </c>
      <c r="D219" s="456" t="str">
        <f>IF(OR('Mobile Equip'!F$15=0,ISBLANK('Mobile Equip'!F$15)),"",'Mobile Equip'!F$15)</f>
        <v/>
      </c>
      <c r="E219" s="18">
        <v>20</v>
      </c>
      <c r="F219" s="18" t="str">
        <f>IF(ISBLANK('Mobile Equip'!E$30),"new_ID",start)</f>
        <v>new_ID</v>
      </c>
      <c r="G219" s="111" t="s">
        <v>94</v>
      </c>
    </row>
    <row r="220" spans="1:7" x14ac:dyDescent="0.2">
      <c r="A220" s="18">
        <f t="shared" si="5"/>
        <v>0</v>
      </c>
      <c r="B220" s="18">
        <f>O1</f>
        <v>2024</v>
      </c>
      <c r="C220" s="110">
        <f>'Mobile Equip'!E$16</f>
        <v>7926</v>
      </c>
      <c r="D220" s="110" t="str">
        <f>IF(ISBLANK('Mobile Equip'!F$16),"",'Mobile Equip'!F$16)</f>
        <v/>
      </c>
      <c r="E220" s="18">
        <v>20</v>
      </c>
      <c r="F220" s="18" t="str">
        <f>IF(ISBLANK('Mobile Equip'!E$30),"new_ID",start)</f>
        <v>new_ID</v>
      </c>
      <c r="G220" s="111" t="s">
        <v>94</v>
      </c>
    </row>
    <row r="221" spans="1:7" hidden="1" x14ac:dyDescent="0.2">
      <c r="C221" s="110"/>
      <c r="D221" s="110"/>
      <c r="G221" s="111" t="s">
        <v>94</v>
      </c>
    </row>
    <row r="222" spans="1:7" x14ac:dyDescent="0.2">
      <c r="A222" s="18">
        <f t="shared" si="5"/>
        <v>0</v>
      </c>
      <c r="B222" s="18">
        <f>O1</f>
        <v>2024</v>
      </c>
      <c r="C222" s="110">
        <f>'Mobile Equip'!E$18</f>
        <v>7928</v>
      </c>
      <c r="D222" s="110" t="str">
        <f>IF(ISBLANK('Mobile Equip'!F$18),"",'Mobile Equip'!F$18)</f>
        <v/>
      </c>
      <c r="E222" s="18">
        <v>20</v>
      </c>
      <c r="F222" s="18" t="str">
        <f>IF(ISBLANK('Mobile Equip'!E$30),"new_ID",start)</f>
        <v>new_ID</v>
      </c>
      <c r="G222" s="111" t="s">
        <v>94</v>
      </c>
    </row>
    <row r="223" spans="1:7" x14ac:dyDescent="0.2">
      <c r="A223" s="18">
        <f t="shared" si="5"/>
        <v>0</v>
      </c>
      <c r="B223" s="18">
        <f>O1</f>
        <v>2024</v>
      </c>
      <c r="C223" s="110">
        <f>'Mobile Equip'!E$19</f>
        <v>7929</v>
      </c>
      <c r="D223" s="456" t="str">
        <f>IF(OR('Mobile Equip'!F$19=0,ISBLANK('Mobile Equip'!F$19)),"",'Mobile Equip'!F$19)</f>
        <v/>
      </c>
      <c r="E223" s="18">
        <v>20</v>
      </c>
      <c r="F223" s="18" t="str">
        <f>IF(ISBLANK('Mobile Equip'!E$30),"new_ID",start)</f>
        <v>new_ID</v>
      </c>
      <c r="G223" s="111" t="s">
        <v>94</v>
      </c>
    </row>
    <row r="224" spans="1:7" x14ac:dyDescent="0.2">
      <c r="A224" s="18">
        <f t="shared" si="5"/>
        <v>0</v>
      </c>
      <c r="B224" s="18">
        <f>O1</f>
        <v>2024</v>
      </c>
      <c r="C224" s="110">
        <f>'Mobile Equip'!H$5</f>
        <v>7930</v>
      </c>
      <c r="D224" s="110" t="str">
        <f>IF(ISBLANK('Mobile Equip'!I$5),"",'Mobile Equip'!I$5)</f>
        <v/>
      </c>
      <c r="E224" s="18">
        <v>20</v>
      </c>
      <c r="F224" s="18" t="str">
        <f>IF(ISBLANK('Mobile Equip'!H$30),"new_ID",start)</f>
        <v>new_ID</v>
      </c>
      <c r="G224" s="118" t="s">
        <v>94</v>
      </c>
    </row>
    <row r="225" spans="1:7" x14ac:dyDescent="0.2">
      <c r="A225" s="18">
        <f t="shared" si="5"/>
        <v>0</v>
      </c>
      <c r="B225" s="18">
        <f>O1</f>
        <v>2024</v>
      </c>
      <c r="C225" s="110">
        <f>'Mobile Equip'!H$6</f>
        <v>7931</v>
      </c>
      <c r="D225" s="110" t="str">
        <f>IF(ISBLANK('Mobile Equip'!I$6),"",'Mobile Equip'!I$6)</f>
        <v/>
      </c>
      <c r="E225" s="18">
        <v>20</v>
      </c>
      <c r="F225" s="18" t="str">
        <f>IF(ISBLANK('Mobile Equip'!H$30),"new_ID",start)</f>
        <v>new_ID</v>
      </c>
      <c r="G225" s="111" t="s">
        <v>94</v>
      </c>
    </row>
    <row r="226" spans="1:7" x14ac:dyDescent="0.2">
      <c r="A226" s="18">
        <f t="shared" si="5"/>
        <v>0</v>
      </c>
      <c r="B226" s="18">
        <f>O1</f>
        <v>2024</v>
      </c>
      <c r="C226" s="110">
        <f>'Mobile Equip'!H$7</f>
        <v>7932</v>
      </c>
      <c r="D226" s="110" t="str">
        <f>IF(ISBLANK('Mobile Equip'!I$7),"",'Mobile Equip'!I$7)</f>
        <v/>
      </c>
      <c r="E226" s="18">
        <v>20</v>
      </c>
      <c r="F226" s="18" t="str">
        <f>IF(ISBLANK('Mobile Equip'!H$30),"new_ID",start)</f>
        <v>new_ID</v>
      </c>
      <c r="G226" s="111" t="s">
        <v>94</v>
      </c>
    </row>
    <row r="227" spans="1:7" x14ac:dyDescent="0.2">
      <c r="A227" s="18">
        <f t="shared" si="5"/>
        <v>0</v>
      </c>
      <c r="B227" s="18">
        <f>O1</f>
        <v>2024</v>
      </c>
      <c r="C227" s="110">
        <f>'Mobile Equip'!H$8</f>
        <v>7933</v>
      </c>
      <c r="D227" s="110" t="str">
        <f>IF(ISBLANK('Mobile Equip'!I$8),"",'Mobile Equip'!I$8)</f>
        <v/>
      </c>
      <c r="E227" s="18">
        <v>20</v>
      </c>
      <c r="F227" s="18" t="str">
        <f>IF(ISBLANK('Mobile Equip'!H$30),"new_ID",start)</f>
        <v>new_ID</v>
      </c>
      <c r="G227" s="111" t="s">
        <v>94</v>
      </c>
    </row>
    <row r="228" spans="1:7" x14ac:dyDescent="0.2">
      <c r="A228" s="18">
        <f t="shared" si="5"/>
        <v>0</v>
      </c>
      <c r="B228" s="18">
        <f>O1</f>
        <v>2024</v>
      </c>
      <c r="C228" s="110">
        <f>'Mobile Equip'!H$9</f>
        <v>7934</v>
      </c>
      <c r="D228" s="110" t="str">
        <f>IF(ISBLANK('Mobile Equip'!I$9),"",'Mobile Equip'!I$9)</f>
        <v/>
      </c>
      <c r="E228" s="18">
        <v>20</v>
      </c>
      <c r="F228" s="18" t="str">
        <f>IF(ISBLANK('Mobile Equip'!H$30),"new_ID",start)</f>
        <v>new_ID</v>
      </c>
      <c r="G228" s="111" t="s">
        <v>94</v>
      </c>
    </row>
    <row r="229" spans="1:7" x14ac:dyDescent="0.2">
      <c r="A229" s="18">
        <f t="shared" si="5"/>
        <v>0</v>
      </c>
      <c r="B229" s="18">
        <f>O1</f>
        <v>2024</v>
      </c>
      <c r="C229" s="110">
        <f>'Mobile Equip'!H$10</f>
        <v>7935</v>
      </c>
      <c r="D229" s="110" t="str">
        <f>IF(ISBLANK('Mobile Equip'!I$10),"",'Mobile Equip'!I$10)</f>
        <v/>
      </c>
      <c r="E229" s="18">
        <v>20</v>
      </c>
      <c r="F229" s="18" t="str">
        <f>IF(ISBLANK('Mobile Equip'!H$30),"new_ID",start)</f>
        <v>new_ID</v>
      </c>
      <c r="G229" s="111" t="s">
        <v>94</v>
      </c>
    </row>
    <row r="230" spans="1:7" x14ac:dyDescent="0.2">
      <c r="A230" s="18">
        <f t="shared" si="5"/>
        <v>0</v>
      </c>
      <c r="B230" s="18">
        <f>O1</f>
        <v>2024</v>
      </c>
      <c r="C230" s="110">
        <f>'Mobile Equip'!H$11</f>
        <v>7936</v>
      </c>
      <c r="D230" s="110" t="str">
        <f>IF(ISBLANK('Mobile Equip'!I$11),"",'Mobile Equip'!I$11)</f>
        <v/>
      </c>
      <c r="E230" s="18">
        <v>20</v>
      </c>
      <c r="F230" s="18" t="str">
        <f>IF(ISBLANK('Mobile Equip'!H$30),"new_ID",start)</f>
        <v>new_ID</v>
      </c>
      <c r="G230" s="111" t="s">
        <v>94</v>
      </c>
    </row>
    <row r="231" spans="1:7" x14ac:dyDescent="0.2">
      <c r="A231" s="18">
        <f t="shared" si="5"/>
        <v>0</v>
      </c>
      <c r="B231" s="18">
        <f>O1</f>
        <v>2024</v>
      </c>
      <c r="C231" s="110">
        <f>'Mobile Equip'!H$12</f>
        <v>7937</v>
      </c>
      <c r="D231" s="110" t="str">
        <f>IF(ISBLANK('Mobile Equip'!I$12),"",'Mobile Equip'!I$12)</f>
        <v/>
      </c>
      <c r="E231" s="18">
        <v>20</v>
      </c>
      <c r="F231" s="18" t="str">
        <f>IF(ISBLANK('Mobile Equip'!H$30),"new_ID",start)</f>
        <v>new_ID</v>
      </c>
      <c r="G231" s="111" t="s">
        <v>94</v>
      </c>
    </row>
    <row r="232" spans="1:7" x14ac:dyDescent="0.2">
      <c r="A232" s="18">
        <f t="shared" si="5"/>
        <v>0</v>
      </c>
      <c r="B232" s="18">
        <f>O1</f>
        <v>2024</v>
      </c>
      <c r="C232" s="110">
        <f>'Mobile Equip'!H$13</f>
        <v>7938</v>
      </c>
      <c r="D232" s="110" t="str">
        <f>IF(ISBLANK('Mobile Equip'!I$13),"",'Mobile Equip'!I$13)</f>
        <v/>
      </c>
      <c r="E232" s="18">
        <v>20</v>
      </c>
      <c r="F232" s="18" t="str">
        <f>IF(ISBLANK('Mobile Equip'!H$30),"new_ID",start)</f>
        <v>new_ID</v>
      </c>
      <c r="G232" s="111" t="s">
        <v>94</v>
      </c>
    </row>
    <row r="233" spans="1:7" x14ac:dyDescent="0.2">
      <c r="A233" s="18">
        <f t="shared" si="5"/>
        <v>0</v>
      </c>
      <c r="B233" s="18">
        <f>O1</f>
        <v>2024</v>
      </c>
      <c r="C233" s="110">
        <f>'Mobile Equip'!H$14</f>
        <v>7939</v>
      </c>
      <c r="D233" s="110" t="str">
        <f>IF(ISBLANK('Mobile Equip'!I$14),"",'Mobile Equip'!I$14)</f>
        <v/>
      </c>
      <c r="E233" s="18">
        <v>20</v>
      </c>
      <c r="F233" s="18" t="str">
        <f>IF(ISBLANK('Mobile Equip'!H$30),"new_ID",start)</f>
        <v>new_ID</v>
      </c>
      <c r="G233" s="111" t="s">
        <v>94</v>
      </c>
    </row>
    <row r="234" spans="1:7" x14ac:dyDescent="0.2">
      <c r="A234" s="18">
        <f t="shared" si="5"/>
        <v>0</v>
      </c>
      <c r="B234" s="18">
        <f>O1</f>
        <v>2024</v>
      </c>
      <c r="C234" s="110">
        <f>'Mobile Equip'!H$15</f>
        <v>7940</v>
      </c>
      <c r="D234" s="456" t="str">
        <f>IF(OR('Mobile Equip'!I$15=0,ISBLANK('Mobile Equip'!I$15)),"",'Mobile Equip'!I$15)</f>
        <v/>
      </c>
      <c r="E234" s="18">
        <v>20</v>
      </c>
      <c r="F234" s="18" t="str">
        <f>IF(ISBLANK('Mobile Equip'!H$30),"new_ID",start)</f>
        <v>new_ID</v>
      </c>
      <c r="G234" s="111" t="s">
        <v>94</v>
      </c>
    </row>
    <row r="235" spans="1:7" x14ac:dyDescent="0.2">
      <c r="A235" s="18">
        <f t="shared" si="5"/>
        <v>0</v>
      </c>
      <c r="B235" s="18">
        <f>O1</f>
        <v>2024</v>
      </c>
      <c r="C235" s="110">
        <f>'Mobile Equip'!H$16</f>
        <v>7941</v>
      </c>
      <c r="D235" s="110" t="str">
        <f>IF(ISBLANK('Mobile Equip'!I$16),"",'Mobile Equip'!I$16)</f>
        <v/>
      </c>
      <c r="E235" s="18">
        <v>20</v>
      </c>
      <c r="F235" s="18" t="str">
        <f>IF(ISBLANK('Mobile Equip'!H$30),"new_ID",start)</f>
        <v>new_ID</v>
      </c>
      <c r="G235" s="111" t="s">
        <v>94</v>
      </c>
    </row>
    <row r="236" spans="1:7" hidden="1" x14ac:dyDescent="0.2">
      <c r="C236" s="110"/>
      <c r="D236" s="110"/>
      <c r="G236" s="111" t="s">
        <v>94</v>
      </c>
    </row>
    <row r="237" spans="1:7" x14ac:dyDescent="0.2">
      <c r="A237" s="18">
        <f t="shared" si="5"/>
        <v>0</v>
      </c>
      <c r="B237" s="18">
        <f>O1</f>
        <v>2024</v>
      </c>
      <c r="C237" s="110">
        <f>'Mobile Equip'!H$18</f>
        <v>7943</v>
      </c>
      <c r="D237" s="110" t="str">
        <f>IF(ISBLANK('Mobile Equip'!I$18),"",'Mobile Equip'!I$18)</f>
        <v/>
      </c>
      <c r="E237" s="18">
        <v>20</v>
      </c>
      <c r="F237" s="18" t="str">
        <f>IF(ISBLANK('Mobile Equip'!H$30),"new_ID",start)</f>
        <v>new_ID</v>
      </c>
      <c r="G237" s="111" t="s">
        <v>94</v>
      </c>
    </row>
    <row r="238" spans="1:7" x14ac:dyDescent="0.2">
      <c r="A238" s="18">
        <f t="shared" si="5"/>
        <v>0</v>
      </c>
      <c r="B238" s="18">
        <f>O1</f>
        <v>2024</v>
      </c>
      <c r="C238" s="110">
        <f>'Mobile Equip'!H$19</f>
        <v>7944</v>
      </c>
      <c r="D238" s="456" t="str">
        <f>IF(OR('Mobile Equip'!I$19=0,ISBLANK('Mobile Equip'!I$19)),"",'Mobile Equip'!I$19)</f>
        <v/>
      </c>
      <c r="E238" s="18">
        <v>20</v>
      </c>
      <c r="F238" s="18" t="str">
        <f>IF(ISBLANK('Mobile Equip'!H$30),"new_ID",start)</f>
        <v>new_ID</v>
      </c>
      <c r="G238" s="111" t="s">
        <v>94</v>
      </c>
    </row>
    <row r="239" spans="1:7" x14ac:dyDescent="0.2">
      <c r="A239" s="18">
        <f t="shared" si="5"/>
        <v>0</v>
      </c>
      <c r="B239" s="18">
        <f>O1</f>
        <v>2024</v>
      </c>
      <c r="C239" s="110">
        <f>'Mobile Equip'!K$5</f>
        <v>7945</v>
      </c>
      <c r="D239" s="110" t="str">
        <f>IF(ISBLANK('Mobile Equip'!L$5),"",'Mobile Equip'!L$5)</f>
        <v/>
      </c>
      <c r="E239" s="18">
        <v>20</v>
      </c>
      <c r="F239" s="18" t="str">
        <f>IF(ISBLANK('Mobile Equip'!K$30),"new_ID",start)</f>
        <v>new_ID</v>
      </c>
      <c r="G239" s="118" t="s">
        <v>94</v>
      </c>
    </row>
    <row r="240" spans="1:7" x14ac:dyDescent="0.2">
      <c r="A240" s="18">
        <f t="shared" si="5"/>
        <v>0</v>
      </c>
      <c r="B240" s="18">
        <f>O1</f>
        <v>2024</v>
      </c>
      <c r="C240" s="110">
        <f>'Mobile Equip'!K$6</f>
        <v>7946</v>
      </c>
      <c r="D240" s="110" t="str">
        <f>IF(ISBLANK('Mobile Equip'!L$6),"",'Mobile Equip'!L$6)</f>
        <v/>
      </c>
      <c r="E240" s="18">
        <v>20</v>
      </c>
      <c r="F240" s="18" t="str">
        <f>IF(ISBLANK('Mobile Equip'!K$30),"new_ID",start)</f>
        <v>new_ID</v>
      </c>
      <c r="G240" s="111" t="s">
        <v>94</v>
      </c>
    </row>
    <row r="241" spans="1:7" x14ac:dyDescent="0.2">
      <c r="A241" s="18">
        <f t="shared" si="5"/>
        <v>0</v>
      </c>
      <c r="B241" s="18">
        <f>O1</f>
        <v>2024</v>
      </c>
      <c r="C241" s="110">
        <f>'Mobile Equip'!K$7</f>
        <v>7947</v>
      </c>
      <c r="D241" s="110" t="str">
        <f>IF(ISBLANK('Mobile Equip'!L$7),"",'Mobile Equip'!L$7)</f>
        <v/>
      </c>
      <c r="E241" s="18">
        <v>20</v>
      </c>
      <c r="F241" s="18" t="str">
        <f>IF(ISBLANK('Mobile Equip'!K$30),"new_ID",start)</f>
        <v>new_ID</v>
      </c>
      <c r="G241" s="111" t="s">
        <v>94</v>
      </c>
    </row>
    <row r="242" spans="1:7" x14ac:dyDescent="0.2">
      <c r="A242" s="18">
        <f t="shared" si="5"/>
        <v>0</v>
      </c>
      <c r="B242" s="18">
        <f>O1</f>
        <v>2024</v>
      </c>
      <c r="C242" s="110">
        <f>'Mobile Equip'!K$8</f>
        <v>7948</v>
      </c>
      <c r="D242" s="110" t="str">
        <f>IF(ISBLANK('Mobile Equip'!L$8),"",'Mobile Equip'!L$8)</f>
        <v/>
      </c>
      <c r="E242" s="18">
        <v>20</v>
      </c>
      <c r="F242" s="18" t="str">
        <f>IF(ISBLANK('Mobile Equip'!K$30),"new_ID",start)</f>
        <v>new_ID</v>
      </c>
      <c r="G242" s="111" t="s">
        <v>94</v>
      </c>
    </row>
    <row r="243" spans="1:7" x14ac:dyDescent="0.2">
      <c r="A243" s="18">
        <f t="shared" si="5"/>
        <v>0</v>
      </c>
      <c r="B243" s="18">
        <f>O1</f>
        <v>2024</v>
      </c>
      <c r="C243" s="110">
        <f>'Mobile Equip'!K$9</f>
        <v>7949</v>
      </c>
      <c r="D243" s="110" t="str">
        <f>IF(ISBLANK('Mobile Equip'!L$9),"",'Mobile Equip'!L$9)</f>
        <v/>
      </c>
      <c r="E243" s="18">
        <v>20</v>
      </c>
      <c r="F243" s="18" t="str">
        <f>IF(ISBLANK('Mobile Equip'!K$30),"new_ID",start)</f>
        <v>new_ID</v>
      </c>
      <c r="G243" s="111" t="s">
        <v>94</v>
      </c>
    </row>
    <row r="244" spans="1:7" x14ac:dyDescent="0.2">
      <c r="A244" s="18">
        <f t="shared" si="5"/>
        <v>0</v>
      </c>
      <c r="B244" s="18">
        <f>O1</f>
        <v>2024</v>
      </c>
      <c r="C244" s="110">
        <f>'Mobile Equip'!K$10</f>
        <v>7950</v>
      </c>
      <c r="D244" s="110" t="str">
        <f>IF(ISBLANK('Mobile Equip'!L$10),"",'Mobile Equip'!L$10)</f>
        <v/>
      </c>
      <c r="E244" s="18">
        <v>20</v>
      </c>
      <c r="F244" s="18" t="str">
        <f>IF(ISBLANK('Mobile Equip'!K$30),"new_ID",start)</f>
        <v>new_ID</v>
      </c>
      <c r="G244" s="111" t="s">
        <v>94</v>
      </c>
    </row>
    <row r="245" spans="1:7" x14ac:dyDescent="0.2">
      <c r="A245" s="18">
        <f t="shared" si="5"/>
        <v>0</v>
      </c>
      <c r="B245" s="18">
        <f>O1</f>
        <v>2024</v>
      </c>
      <c r="C245" s="110">
        <f>'Mobile Equip'!K$11</f>
        <v>7951</v>
      </c>
      <c r="D245" s="110" t="str">
        <f>IF(ISBLANK('Mobile Equip'!L$11),"",'Mobile Equip'!L$11)</f>
        <v/>
      </c>
      <c r="E245" s="18">
        <v>20</v>
      </c>
      <c r="F245" s="18" t="str">
        <f>IF(ISBLANK('Mobile Equip'!K$30),"new_ID",start)</f>
        <v>new_ID</v>
      </c>
      <c r="G245" s="111" t="s">
        <v>94</v>
      </c>
    </row>
    <row r="246" spans="1:7" x14ac:dyDescent="0.2">
      <c r="A246" s="18">
        <f t="shared" si="5"/>
        <v>0</v>
      </c>
      <c r="B246" s="18">
        <f>O1</f>
        <v>2024</v>
      </c>
      <c r="C246" s="110">
        <f>'Mobile Equip'!K$12</f>
        <v>7952</v>
      </c>
      <c r="D246" s="110" t="str">
        <f>IF(ISBLANK('Mobile Equip'!L$12),"",'Mobile Equip'!L$12)</f>
        <v/>
      </c>
      <c r="E246" s="18">
        <v>20</v>
      </c>
      <c r="F246" s="18" t="str">
        <f>IF(ISBLANK('Mobile Equip'!K$30),"new_ID",start)</f>
        <v>new_ID</v>
      </c>
      <c r="G246" s="111" t="s">
        <v>94</v>
      </c>
    </row>
    <row r="247" spans="1:7" x14ac:dyDescent="0.2">
      <c r="A247" s="18">
        <f t="shared" si="5"/>
        <v>0</v>
      </c>
      <c r="B247" s="18">
        <f>O1</f>
        <v>2024</v>
      </c>
      <c r="C247" s="110">
        <f>'Mobile Equip'!K$13</f>
        <v>7953</v>
      </c>
      <c r="D247" s="110" t="str">
        <f>IF(ISBLANK('Mobile Equip'!L$13),"",'Mobile Equip'!L$13)</f>
        <v/>
      </c>
      <c r="E247" s="18">
        <v>20</v>
      </c>
      <c r="F247" s="18" t="str">
        <f>IF(ISBLANK('Mobile Equip'!K$30),"new_ID",start)</f>
        <v>new_ID</v>
      </c>
      <c r="G247" s="111" t="s">
        <v>94</v>
      </c>
    </row>
    <row r="248" spans="1:7" x14ac:dyDescent="0.2">
      <c r="A248" s="18">
        <f t="shared" si="5"/>
        <v>0</v>
      </c>
      <c r="B248" s="18">
        <f>O1</f>
        <v>2024</v>
      </c>
      <c r="C248" s="110">
        <f>'Mobile Equip'!K$14</f>
        <v>7954</v>
      </c>
      <c r="D248" s="110" t="str">
        <f>IF(ISBLANK('Mobile Equip'!L$14),"",'Mobile Equip'!L$14)</f>
        <v/>
      </c>
      <c r="E248" s="18">
        <v>20</v>
      </c>
      <c r="F248" s="18" t="str">
        <f>IF(ISBLANK('Mobile Equip'!K$30),"new_ID",start)</f>
        <v>new_ID</v>
      </c>
      <c r="G248" s="111" t="s">
        <v>94</v>
      </c>
    </row>
    <row r="249" spans="1:7" x14ac:dyDescent="0.2">
      <c r="A249" s="18">
        <f t="shared" si="5"/>
        <v>0</v>
      </c>
      <c r="B249" s="18">
        <f>O1</f>
        <v>2024</v>
      </c>
      <c r="C249" s="110">
        <f>'Mobile Equip'!K$15</f>
        <v>7955</v>
      </c>
      <c r="D249" s="456" t="str">
        <f>IF(OR('Mobile Equip'!L$15=0,ISBLANK('Mobile Equip'!L$15)),"",'Mobile Equip'!L$15)</f>
        <v/>
      </c>
      <c r="E249" s="18">
        <v>20</v>
      </c>
      <c r="F249" s="18" t="str">
        <f>IF(ISBLANK('Mobile Equip'!K$30),"new_ID",start)</f>
        <v>new_ID</v>
      </c>
      <c r="G249" s="111" t="s">
        <v>94</v>
      </c>
    </row>
    <row r="250" spans="1:7" x14ac:dyDescent="0.2">
      <c r="A250" s="18">
        <f t="shared" si="5"/>
        <v>0</v>
      </c>
      <c r="B250" s="18">
        <f>O1</f>
        <v>2024</v>
      </c>
      <c r="C250" s="110">
        <f>'Mobile Equip'!K$16</f>
        <v>7956</v>
      </c>
      <c r="D250" s="110" t="str">
        <f>IF(ISBLANK('Mobile Equip'!L$16),"",'Mobile Equip'!L$16)</f>
        <v/>
      </c>
      <c r="E250" s="18">
        <v>20</v>
      </c>
      <c r="F250" s="18" t="str">
        <f>IF(ISBLANK('Mobile Equip'!K$30),"new_ID",start)</f>
        <v>new_ID</v>
      </c>
      <c r="G250" s="111" t="s">
        <v>94</v>
      </c>
    </row>
    <row r="251" spans="1:7" hidden="1" x14ac:dyDescent="0.2">
      <c r="C251" s="110"/>
      <c r="D251" s="110"/>
      <c r="G251" s="111" t="s">
        <v>94</v>
      </c>
    </row>
    <row r="252" spans="1:7" x14ac:dyDescent="0.2">
      <c r="A252" s="18">
        <f t="shared" si="5"/>
        <v>0</v>
      </c>
      <c r="B252" s="18">
        <f>O1</f>
        <v>2024</v>
      </c>
      <c r="C252" s="110">
        <f>'Mobile Equip'!K$18</f>
        <v>7958</v>
      </c>
      <c r="D252" s="110" t="str">
        <f>IF(ISBLANK('Mobile Equip'!L$18),"",'Mobile Equip'!L$18)</f>
        <v/>
      </c>
      <c r="E252" s="18">
        <v>20</v>
      </c>
      <c r="F252" s="18" t="str">
        <f>IF(ISBLANK('Mobile Equip'!K$30),"new_ID",start)</f>
        <v>new_ID</v>
      </c>
      <c r="G252" s="111" t="s">
        <v>94</v>
      </c>
    </row>
    <row r="253" spans="1:7" x14ac:dyDescent="0.2">
      <c r="A253" s="18">
        <f t="shared" si="5"/>
        <v>0</v>
      </c>
      <c r="B253" s="18">
        <f>O1</f>
        <v>2024</v>
      </c>
      <c r="C253" s="110">
        <f>'Mobile Equip'!K$19</f>
        <v>7959</v>
      </c>
      <c r="D253" s="456" t="str">
        <f>IF(OR('Mobile Equip'!L$19=0,ISBLANK('Mobile Equip'!L$19)),"",'Mobile Equip'!L$19)</f>
        <v/>
      </c>
      <c r="E253" s="18">
        <v>20</v>
      </c>
      <c r="F253" s="18" t="str">
        <f>IF(ISBLANK('Mobile Equip'!K$30),"new_ID",start)</f>
        <v>new_ID</v>
      </c>
      <c r="G253" s="111" t="s">
        <v>94</v>
      </c>
    </row>
    <row r="254" spans="1:7" x14ac:dyDescent="0.2">
      <c r="A254" s="18">
        <f t="shared" si="5"/>
        <v>0</v>
      </c>
      <c r="B254" s="18">
        <f>O1</f>
        <v>2024</v>
      </c>
      <c r="C254" s="110">
        <f>'Mobile Equip'!N$5</f>
        <v>7960</v>
      </c>
      <c r="D254" s="110" t="str">
        <f>IF(ISBLANK('Mobile Equip'!O$5),"",'Mobile Equip'!O$5)</f>
        <v/>
      </c>
      <c r="E254" s="18">
        <v>20</v>
      </c>
      <c r="F254" s="18" t="str">
        <f>IF(ISBLANK('Mobile Equip'!N$30),"new_ID",start)</f>
        <v>new_ID</v>
      </c>
      <c r="G254" s="118" t="s">
        <v>94</v>
      </c>
    </row>
    <row r="255" spans="1:7" x14ac:dyDescent="0.2">
      <c r="A255" s="18">
        <f t="shared" si="5"/>
        <v>0</v>
      </c>
      <c r="B255" s="18">
        <f>O1</f>
        <v>2024</v>
      </c>
      <c r="C255" s="110">
        <f>'Mobile Equip'!N$6</f>
        <v>7961</v>
      </c>
      <c r="D255" s="110" t="str">
        <f>IF(ISBLANK('Mobile Equip'!O$6),"",'Mobile Equip'!O$6)</f>
        <v/>
      </c>
      <c r="E255" s="18">
        <v>20</v>
      </c>
      <c r="F255" s="18" t="str">
        <f>IF(ISBLANK('Mobile Equip'!N$30),"new_ID",start)</f>
        <v>new_ID</v>
      </c>
      <c r="G255" s="111" t="s">
        <v>94</v>
      </c>
    </row>
    <row r="256" spans="1:7" x14ac:dyDescent="0.2">
      <c r="A256" s="18">
        <f t="shared" si="5"/>
        <v>0</v>
      </c>
      <c r="B256" s="18">
        <f>O1</f>
        <v>2024</v>
      </c>
      <c r="C256" s="110">
        <f>'Mobile Equip'!N$7</f>
        <v>7962</v>
      </c>
      <c r="D256" s="110" t="str">
        <f>IF(ISBLANK('Mobile Equip'!O$7),"",'Mobile Equip'!O$7)</f>
        <v/>
      </c>
      <c r="E256" s="18">
        <v>20</v>
      </c>
      <c r="F256" s="18" t="str">
        <f>IF(ISBLANK('Mobile Equip'!N$30),"new_ID",start)</f>
        <v>new_ID</v>
      </c>
      <c r="G256" s="111" t="s">
        <v>94</v>
      </c>
    </row>
    <row r="257" spans="1:7" x14ac:dyDescent="0.2">
      <c r="A257" s="18">
        <f t="shared" si="5"/>
        <v>0</v>
      </c>
      <c r="B257" s="18">
        <f>O1</f>
        <v>2024</v>
      </c>
      <c r="C257" s="110">
        <f>'Mobile Equip'!N$8</f>
        <v>7963</v>
      </c>
      <c r="D257" s="110" t="str">
        <f>IF(ISBLANK('Mobile Equip'!O$8),"",'Mobile Equip'!O$8)</f>
        <v/>
      </c>
      <c r="E257" s="18">
        <v>20</v>
      </c>
      <c r="F257" s="18" t="str">
        <f>IF(ISBLANK('Mobile Equip'!N$30),"new_ID",start)</f>
        <v>new_ID</v>
      </c>
      <c r="G257" s="111" t="s">
        <v>94</v>
      </c>
    </row>
    <row r="258" spans="1:7" x14ac:dyDescent="0.2">
      <c r="A258" s="18">
        <f t="shared" si="5"/>
        <v>0</v>
      </c>
      <c r="B258" s="18">
        <f>O1</f>
        <v>2024</v>
      </c>
      <c r="C258" s="110">
        <f>'Mobile Equip'!N$9</f>
        <v>7964</v>
      </c>
      <c r="D258" s="110" t="str">
        <f>IF(ISBLANK('Mobile Equip'!O$9),"",'Mobile Equip'!O$9)</f>
        <v/>
      </c>
      <c r="E258" s="18">
        <v>20</v>
      </c>
      <c r="F258" s="18" t="str">
        <f>IF(ISBLANK('Mobile Equip'!N$30),"new_ID",start)</f>
        <v>new_ID</v>
      </c>
      <c r="G258" s="111" t="s">
        <v>94</v>
      </c>
    </row>
    <row r="259" spans="1:7" x14ac:dyDescent="0.2">
      <c r="A259" s="18">
        <f t="shared" si="5"/>
        <v>0</v>
      </c>
      <c r="B259" s="18">
        <f>O1</f>
        <v>2024</v>
      </c>
      <c r="C259" s="110">
        <f>'Mobile Equip'!N$10</f>
        <v>7965</v>
      </c>
      <c r="D259" s="110" t="str">
        <f>IF(ISBLANK('Mobile Equip'!O$10),"",'Mobile Equip'!O$10)</f>
        <v/>
      </c>
      <c r="E259" s="18">
        <v>20</v>
      </c>
      <c r="F259" s="18" t="str">
        <f>IF(ISBLANK('Mobile Equip'!N$30),"new_ID",start)</f>
        <v>new_ID</v>
      </c>
      <c r="G259" s="111" t="s">
        <v>94</v>
      </c>
    </row>
    <row r="260" spans="1:7" x14ac:dyDescent="0.2">
      <c r="A260" s="18">
        <f t="shared" si="5"/>
        <v>0</v>
      </c>
      <c r="B260" s="18">
        <f>O1</f>
        <v>2024</v>
      </c>
      <c r="C260" s="110">
        <f>'Mobile Equip'!N$11</f>
        <v>7966</v>
      </c>
      <c r="D260" s="110" t="str">
        <f>IF(ISBLANK('Mobile Equip'!O$11),"",'Mobile Equip'!O$11)</f>
        <v/>
      </c>
      <c r="E260" s="18">
        <v>20</v>
      </c>
      <c r="F260" s="18" t="str">
        <f>IF(ISBLANK('Mobile Equip'!N$30),"new_ID",start)</f>
        <v>new_ID</v>
      </c>
      <c r="G260" s="111" t="s">
        <v>94</v>
      </c>
    </row>
    <row r="261" spans="1:7" x14ac:dyDescent="0.2">
      <c r="A261" s="18">
        <f t="shared" si="5"/>
        <v>0</v>
      </c>
      <c r="B261" s="18">
        <f>O1</f>
        <v>2024</v>
      </c>
      <c r="C261" s="110">
        <f>'Mobile Equip'!N$12</f>
        <v>7967</v>
      </c>
      <c r="D261" s="110" t="str">
        <f>IF(ISBLANK('Mobile Equip'!O$12),"",'Mobile Equip'!O$12)</f>
        <v/>
      </c>
      <c r="E261" s="18">
        <v>20</v>
      </c>
      <c r="F261" s="18" t="str">
        <f>IF(ISBLANK('Mobile Equip'!N$30),"new_ID",start)</f>
        <v>new_ID</v>
      </c>
      <c r="G261" s="111" t="s">
        <v>94</v>
      </c>
    </row>
    <row r="262" spans="1:7" x14ac:dyDescent="0.2">
      <c r="A262" s="18">
        <f t="shared" ref="A262:A325" si="6">start</f>
        <v>0</v>
      </c>
      <c r="B262" s="18">
        <f>O1</f>
        <v>2024</v>
      </c>
      <c r="C262" s="110">
        <f>'Mobile Equip'!N$13</f>
        <v>7968</v>
      </c>
      <c r="D262" s="110" t="str">
        <f>IF(ISBLANK('Mobile Equip'!O$13),"",'Mobile Equip'!O$13)</f>
        <v/>
      </c>
      <c r="E262" s="18">
        <v>20</v>
      </c>
      <c r="F262" s="18" t="str">
        <f>IF(ISBLANK('Mobile Equip'!N$30),"new_ID",start)</f>
        <v>new_ID</v>
      </c>
      <c r="G262" s="111" t="s">
        <v>94</v>
      </c>
    </row>
    <row r="263" spans="1:7" x14ac:dyDescent="0.2">
      <c r="A263" s="18">
        <f t="shared" si="6"/>
        <v>0</v>
      </c>
      <c r="B263" s="18">
        <f>O1</f>
        <v>2024</v>
      </c>
      <c r="C263" s="110">
        <f>'Mobile Equip'!N$14</f>
        <v>7969</v>
      </c>
      <c r="D263" s="110" t="str">
        <f>IF(ISBLANK('Mobile Equip'!O$14),"",'Mobile Equip'!O$14)</f>
        <v/>
      </c>
      <c r="E263" s="18">
        <v>20</v>
      </c>
      <c r="F263" s="18" t="str">
        <f>IF(ISBLANK('Mobile Equip'!N$30),"new_ID",start)</f>
        <v>new_ID</v>
      </c>
      <c r="G263" s="111" t="s">
        <v>94</v>
      </c>
    </row>
    <row r="264" spans="1:7" x14ac:dyDescent="0.2">
      <c r="A264" s="18">
        <f t="shared" si="6"/>
        <v>0</v>
      </c>
      <c r="B264" s="18">
        <f>O1</f>
        <v>2024</v>
      </c>
      <c r="C264" s="110">
        <f>'Mobile Equip'!N$15</f>
        <v>7970</v>
      </c>
      <c r="D264" s="456" t="str">
        <f>IF(OR('Mobile Equip'!O$15=0,ISBLANK('Mobile Equip'!O$15)),"",'Mobile Equip'!O$15)</f>
        <v/>
      </c>
      <c r="E264" s="18">
        <v>20</v>
      </c>
      <c r="F264" s="18" t="str">
        <f>IF(ISBLANK('Mobile Equip'!N$30),"new_ID",start)</f>
        <v>new_ID</v>
      </c>
      <c r="G264" s="111" t="s">
        <v>94</v>
      </c>
    </row>
    <row r="265" spans="1:7" x14ac:dyDescent="0.2">
      <c r="A265" s="18">
        <f t="shared" si="6"/>
        <v>0</v>
      </c>
      <c r="B265" s="18">
        <f>O1</f>
        <v>2024</v>
      </c>
      <c r="C265" s="110">
        <f>'Mobile Equip'!N$16</f>
        <v>7971</v>
      </c>
      <c r="D265" s="110" t="str">
        <f>IF(ISBLANK('Mobile Equip'!O$16),"",'Mobile Equip'!O$16)</f>
        <v/>
      </c>
      <c r="E265" s="18">
        <v>20</v>
      </c>
      <c r="F265" s="18" t="str">
        <f>IF(ISBLANK('Mobile Equip'!N$30),"new_ID",start)</f>
        <v>new_ID</v>
      </c>
      <c r="G265" s="111" t="s">
        <v>94</v>
      </c>
    </row>
    <row r="266" spans="1:7" hidden="1" x14ac:dyDescent="0.2">
      <c r="C266" s="110"/>
      <c r="D266" s="110"/>
      <c r="G266" s="111" t="s">
        <v>94</v>
      </c>
    </row>
    <row r="267" spans="1:7" x14ac:dyDescent="0.2">
      <c r="A267" s="18">
        <f t="shared" si="6"/>
        <v>0</v>
      </c>
      <c r="B267" s="18">
        <f>O1</f>
        <v>2024</v>
      </c>
      <c r="C267" s="110">
        <f>'Mobile Equip'!N$18</f>
        <v>7973</v>
      </c>
      <c r="D267" s="110" t="str">
        <f>IF(ISBLANK('Mobile Equip'!O$18),"",'Mobile Equip'!O$18)</f>
        <v/>
      </c>
      <c r="E267" s="18">
        <v>20</v>
      </c>
      <c r="F267" s="18" t="str">
        <f>IF(ISBLANK('Mobile Equip'!N$30),"new_ID",start)</f>
        <v>new_ID</v>
      </c>
      <c r="G267" s="111" t="s">
        <v>94</v>
      </c>
    </row>
    <row r="268" spans="1:7" x14ac:dyDescent="0.2">
      <c r="A268" s="18">
        <f t="shared" si="6"/>
        <v>0</v>
      </c>
      <c r="B268" s="18">
        <f>O1</f>
        <v>2024</v>
      </c>
      <c r="C268" s="110">
        <f>'Mobile Equip'!N$19</f>
        <v>7974</v>
      </c>
      <c r="D268" s="456" t="str">
        <f>IF(OR('Mobile Equip'!O$19=0,ISBLANK('Mobile Equip'!O$19)),"",'Mobile Equip'!O$19)</f>
        <v/>
      </c>
      <c r="E268" s="18">
        <v>20</v>
      </c>
      <c r="F268" s="18" t="str">
        <f>IF(ISBLANK('Mobile Equip'!N$30),"new_ID",start)</f>
        <v>new_ID</v>
      </c>
      <c r="G268" s="111" t="s">
        <v>94</v>
      </c>
    </row>
    <row r="269" spans="1:7" x14ac:dyDescent="0.2">
      <c r="A269" s="18">
        <f t="shared" si="6"/>
        <v>0</v>
      </c>
      <c r="B269" s="18">
        <f>O1</f>
        <v>2024</v>
      </c>
      <c r="C269" s="110">
        <f>'Mobile Equip'!Q$5</f>
        <v>7975</v>
      </c>
      <c r="D269" s="110" t="str">
        <f>IF(ISBLANK('Mobile Equip'!R$5),"",'Mobile Equip'!R$5)</f>
        <v/>
      </c>
      <c r="E269" s="18">
        <v>20</v>
      </c>
      <c r="F269" s="18" t="str">
        <f>IF(ISBLANK('Mobile Equip'!Q$30),"new_ID",start)</f>
        <v>new_ID</v>
      </c>
      <c r="G269" s="118" t="s">
        <v>94</v>
      </c>
    </row>
    <row r="270" spans="1:7" x14ac:dyDescent="0.2">
      <c r="A270" s="18">
        <f t="shared" si="6"/>
        <v>0</v>
      </c>
      <c r="B270" s="18">
        <f>O1</f>
        <v>2024</v>
      </c>
      <c r="C270" s="110">
        <f>'Mobile Equip'!Q$6</f>
        <v>7976</v>
      </c>
      <c r="D270" s="110" t="str">
        <f>IF(ISBLANK('Mobile Equip'!R$6),"",'Mobile Equip'!R$6)</f>
        <v/>
      </c>
      <c r="E270" s="18">
        <v>20</v>
      </c>
      <c r="F270" s="18" t="str">
        <f>IF(ISBLANK('Mobile Equip'!Q$30),"new_ID",start)</f>
        <v>new_ID</v>
      </c>
      <c r="G270" s="111" t="s">
        <v>94</v>
      </c>
    </row>
    <row r="271" spans="1:7" x14ac:dyDescent="0.2">
      <c r="A271" s="18">
        <f t="shared" si="6"/>
        <v>0</v>
      </c>
      <c r="B271" s="18">
        <f>O1</f>
        <v>2024</v>
      </c>
      <c r="C271" s="110">
        <f>'Mobile Equip'!Q$7</f>
        <v>7977</v>
      </c>
      <c r="D271" s="110" t="str">
        <f>IF(ISBLANK('Mobile Equip'!R$7),"",'Mobile Equip'!R$7)</f>
        <v/>
      </c>
      <c r="E271" s="18">
        <v>20</v>
      </c>
      <c r="F271" s="18" t="str">
        <f>IF(ISBLANK('Mobile Equip'!Q$30),"new_ID",start)</f>
        <v>new_ID</v>
      </c>
      <c r="G271" s="111" t="s">
        <v>94</v>
      </c>
    </row>
    <row r="272" spans="1:7" x14ac:dyDescent="0.2">
      <c r="A272" s="18">
        <f t="shared" si="6"/>
        <v>0</v>
      </c>
      <c r="B272" s="18">
        <f>O1</f>
        <v>2024</v>
      </c>
      <c r="C272" s="110">
        <f>'Mobile Equip'!Q$8</f>
        <v>7978</v>
      </c>
      <c r="D272" s="110" t="str">
        <f>IF(ISBLANK('Mobile Equip'!R$8),"",'Mobile Equip'!R$8)</f>
        <v/>
      </c>
      <c r="E272" s="18">
        <v>20</v>
      </c>
      <c r="F272" s="18" t="str">
        <f>IF(ISBLANK('Mobile Equip'!Q$30),"new_ID",start)</f>
        <v>new_ID</v>
      </c>
      <c r="G272" s="111" t="s">
        <v>94</v>
      </c>
    </row>
    <row r="273" spans="1:7" x14ac:dyDescent="0.2">
      <c r="A273" s="18">
        <f t="shared" si="6"/>
        <v>0</v>
      </c>
      <c r="B273" s="18">
        <f>O1</f>
        <v>2024</v>
      </c>
      <c r="C273" s="110">
        <f>'Mobile Equip'!Q$9</f>
        <v>7979</v>
      </c>
      <c r="D273" s="110" t="str">
        <f>IF(ISBLANK('Mobile Equip'!R$9),"",'Mobile Equip'!R$9)</f>
        <v/>
      </c>
      <c r="E273" s="18">
        <v>20</v>
      </c>
      <c r="F273" s="18" t="str">
        <f>IF(ISBLANK('Mobile Equip'!Q$30),"new_ID",start)</f>
        <v>new_ID</v>
      </c>
      <c r="G273" s="111" t="s">
        <v>94</v>
      </c>
    </row>
    <row r="274" spans="1:7" x14ac:dyDescent="0.2">
      <c r="A274" s="18">
        <f t="shared" si="6"/>
        <v>0</v>
      </c>
      <c r="B274" s="18">
        <f>O1</f>
        <v>2024</v>
      </c>
      <c r="C274" s="110">
        <f>'Mobile Equip'!Q$10</f>
        <v>7980</v>
      </c>
      <c r="D274" s="110" t="str">
        <f>IF(ISBLANK('Mobile Equip'!R$10),"",'Mobile Equip'!R$10)</f>
        <v/>
      </c>
      <c r="E274" s="18">
        <v>20</v>
      </c>
      <c r="F274" s="18" t="str">
        <f>IF(ISBLANK('Mobile Equip'!Q$30),"new_ID",start)</f>
        <v>new_ID</v>
      </c>
      <c r="G274" s="111" t="s">
        <v>94</v>
      </c>
    </row>
    <row r="275" spans="1:7" x14ac:dyDescent="0.2">
      <c r="A275" s="18">
        <f t="shared" si="6"/>
        <v>0</v>
      </c>
      <c r="B275" s="18">
        <f>O1</f>
        <v>2024</v>
      </c>
      <c r="C275" s="110">
        <f>'Mobile Equip'!Q$11</f>
        <v>7981</v>
      </c>
      <c r="D275" s="110" t="str">
        <f>IF(ISBLANK('Mobile Equip'!R$11),"",'Mobile Equip'!R$11)</f>
        <v/>
      </c>
      <c r="E275" s="18">
        <v>20</v>
      </c>
      <c r="F275" s="18" t="str">
        <f>IF(ISBLANK('Mobile Equip'!Q$30),"new_ID",start)</f>
        <v>new_ID</v>
      </c>
      <c r="G275" s="111" t="s">
        <v>94</v>
      </c>
    </row>
    <row r="276" spans="1:7" x14ac:dyDescent="0.2">
      <c r="A276" s="18">
        <f t="shared" si="6"/>
        <v>0</v>
      </c>
      <c r="B276" s="18">
        <f>O1</f>
        <v>2024</v>
      </c>
      <c r="C276" s="110">
        <f>'Mobile Equip'!Q$12</f>
        <v>7982</v>
      </c>
      <c r="D276" s="110" t="str">
        <f>IF(ISBLANK('Mobile Equip'!R$12),"",'Mobile Equip'!R$12)</f>
        <v/>
      </c>
      <c r="E276" s="18">
        <v>20</v>
      </c>
      <c r="F276" s="18" t="str">
        <f>IF(ISBLANK('Mobile Equip'!Q$30),"new_ID",start)</f>
        <v>new_ID</v>
      </c>
      <c r="G276" s="111" t="s">
        <v>94</v>
      </c>
    </row>
    <row r="277" spans="1:7" x14ac:dyDescent="0.2">
      <c r="A277" s="18">
        <f t="shared" si="6"/>
        <v>0</v>
      </c>
      <c r="B277" s="18">
        <f>O1</f>
        <v>2024</v>
      </c>
      <c r="C277" s="110">
        <f>'Mobile Equip'!Q$13</f>
        <v>7983</v>
      </c>
      <c r="D277" s="110" t="str">
        <f>IF(ISBLANK('Mobile Equip'!R$13),"",'Mobile Equip'!R$13)</f>
        <v/>
      </c>
      <c r="E277" s="18">
        <v>20</v>
      </c>
      <c r="F277" s="18" t="str">
        <f>IF(ISBLANK('Mobile Equip'!Q$30),"new_ID",start)</f>
        <v>new_ID</v>
      </c>
      <c r="G277" s="111" t="s">
        <v>94</v>
      </c>
    </row>
    <row r="278" spans="1:7" x14ac:dyDescent="0.2">
      <c r="A278" s="18">
        <f t="shared" si="6"/>
        <v>0</v>
      </c>
      <c r="B278" s="18">
        <f>O1</f>
        <v>2024</v>
      </c>
      <c r="C278" s="110">
        <f>'Mobile Equip'!Q$14</f>
        <v>7984</v>
      </c>
      <c r="D278" s="110" t="str">
        <f>IF(ISBLANK('Mobile Equip'!R$14),"",'Mobile Equip'!R$14)</f>
        <v/>
      </c>
      <c r="E278" s="18">
        <v>20</v>
      </c>
      <c r="F278" s="18" t="str">
        <f>IF(ISBLANK('Mobile Equip'!Q$30),"new_ID",start)</f>
        <v>new_ID</v>
      </c>
      <c r="G278" s="111" t="s">
        <v>94</v>
      </c>
    </row>
    <row r="279" spans="1:7" x14ac:dyDescent="0.2">
      <c r="A279" s="18">
        <f t="shared" si="6"/>
        <v>0</v>
      </c>
      <c r="B279" s="18">
        <f>O1</f>
        <v>2024</v>
      </c>
      <c r="C279" s="110">
        <f>'Mobile Equip'!Q$15</f>
        <v>7985</v>
      </c>
      <c r="D279" s="456" t="str">
        <f>IF(OR('Mobile Equip'!R$15=0,ISBLANK('Mobile Equip'!R$15)),"",'Mobile Equip'!R$15)</f>
        <v/>
      </c>
      <c r="E279" s="18">
        <v>20</v>
      </c>
      <c r="F279" s="18" t="str">
        <f>IF(ISBLANK('Mobile Equip'!Q$30),"new_ID",start)</f>
        <v>new_ID</v>
      </c>
      <c r="G279" s="111" t="s">
        <v>94</v>
      </c>
    </row>
    <row r="280" spans="1:7" x14ac:dyDescent="0.2">
      <c r="A280" s="18">
        <f t="shared" si="6"/>
        <v>0</v>
      </c>
      <c r="B280" s="18">
        <f>O1</f>
        <v>2024</v>
      </c>
      <c r="C280" s="110">
        <f>'Mobile Equip'!Q$16</f>
        <v>7986</v>
      </c>
      <c r="D280" s="110" t="str">
        <f>IF(ISBLANK('Mobile Equip'!R$16),"",'Mobile Equip'!R$16)</f>
        <v/>
      </c>
      <c r="E280" s="18">
        <v>20</v>
      </c>
      <c r="F280" s="18" t="str">
        <f>IF(ISBLANK('Mobile Equip'!Q$30),"new_ID",start)</f>
        <v>new_ID</v>
      </c>
      <c r="G280" s="111" t="s">
        <v>94</v>
      </c>
    </row>
    <row r="281" spans="1:7" hidden="1" x14ac:dyDescent="0.2">
      <c r="C281" s="110"/>
      <c r="D281" s="110"/>
      <c r="G281" s="111" t="s">
        <v>94</v>
      </c>
    </row>
    <row r="282" spans="1:7" x14ac:dyDescent="0.2">
      <c r="A282" s="18">
        <f t="shared" si="6"/>
        <v>0</v>
      </c>
      <c r="B282" s="18">
        <f>O1</f>
        <v>2024</v>
      </c>
      <c r="C282" s="110">
        <f>'Mobile Equip'!Q$18</f>
        <v>7988</v>
      </c>
      <c r="D282" s="110" t="str">
        <f>IF(ISBLANK('Mobile Equip'!R$18),"",'Mobile Equip'!R$18)</f>
        <v/>
      </c>
      <c r="E282" s="18">
        <v>20</v>
      </c>
      <c r="F282" s="18" t="str">
        <f>IF(ISBLANK('Mobile Equip'!Q$30),"new_ID",start)</f>
        <v>new_ID</v>
      </c>
      <c r="G282" s="111" t="s">
        <v>94</v>
      </c>
    </row>
    <row r="283" spans="1:7" x14ac:dyDescent="0.2">
      <c r="A283" s="18">
        <f t="shared" si="6"/>
        <v>0</v>
      </c>
      <c r="B283" s="18">
        <f>O1</f>
        <v>2024</v>
      </c>
      <c r="C283" s="110">
        <f>'Mobile Equip'!Q$19</f>
        <v>7989</v>
      </c>
      <c r="D283" s="456" t="str">
        <f>IF(OR('Mobile Equip'!R$19=0,ISBLANK('Mobile Equip'!R$19)),"",'Mobile Equip'!R$19)</f>
        <v/>
      </c>
      <c r="E283" s="18">
        <v>20</v>
      </c>
      <c r="F283" s="18" t="str">
        <f>IF(ISBLANK('Mobile Equip'!Q$30),"new_ID",start)</f>
        <v>new_ID</v>
      </c>
      <c r="G283" s="111" t="s">
        <v>94</v>
      </c>
    </row>
    <row r="284" spans="1:7" x14ac:dyDescent="0.2">
      <c r="A284" s="18">
        <f t="shared" si="6"/>
        <v>0</v>
      </c>
      <c r="B284" s="18">
        <f>O1</f>
        <v>2024</v>
      </c>
      <c r="C284" s="110">
        <f>'Mobile Equip'!B$24</f>
        <v>7197</v>
      </c>
      <c r="D284" s="110" t="str">
        <f>IF(ISBLANK('Mobile Equip'!C$24),"",'Mobile Equip'!C$24)</f>
        <v/>
      </c>
      <c r="E284" s="18">
        <v>20</v>
      </c>
      <c r="F284" s="18" t="str">
        <f>IF(ISBLANK('Mobile Equip'!B$30),"new_ID",start)</f>
        <v>new_ID</v>
      </c>
      <c r="G284" s="118" t="s">
        <v>94</v>
      </c>
    </row>
    <row r="285" spans="1:7" x14ac:dyDescent="0.2">
      <c r="A285" s="18">
        <f t="shared" si="6"/>
        <v>0</v>
      </c>
      <c r="B285" s="18">
        <f>O1</f>
        <v>2024</v>
      </c>
      <c r="C285" s="110">
        <f>'Mobile Equip'!E$24</f>
        <v>7201</v>
      </c>
      <c r="D285" s="110" t="str">
        <f>IF(ISBLANK('Mobile Equip'!F$24),"",'Mobile Equip'!F$24)</f>
        <v/>
      </c>
      <c r="E285" s="18">
        <v>20</v>
      </c>
      <c r="F285" s="18" t="str">
        <f>IF(ISBLANK('Mobile Equip'!E$30),"new_ID",start)</f>
        <v>new_ID</v>
      </c>
      <c r="G285" s="118" t="s">
        <v>94</v>
      </c>
    </row>
    <row r="286" spans="1:7" x14ac:dyDescent="0.2">
      <c r="A286" s="18">
        <f t="shared" si="6"/>
        <v>0</v>
      </c>
      <c r="B286" s="18">
        <f>O1</f>
        <v>2024</v>
      </c>
      <c r="C286" s="110">
        <f>'Mobile Equip'!H$24</f>
        <v>7314</v>
      </c>
      <c r="D286" s="110" t="str">
        <f>IF(ISBLANK('Mobile Equip'!I$24),"",'Mobile Equip'!I$24)</f>
        <v/>
      </c>
      <c r="E286" s="18">
        <v>20</v>
      </c>
      <c r="F286" s="18" t="str">
        <f>IF(ISBLANK('Mobile Equip'!H$30),"new_ID",start)</f>
        <v>new_ID</v>
      </c>
      <c r="G286" s="118" t="s">
        <v>94</v>
      </c>
    </row>
    <row r="287" spans="1:7" x14ac:dyDescent="0.2">
      <c r="A287" s="18">
        <f t="shared" si="6"/>
        <v>0</v>
      </c>
      <c r="B287" s="18">
        <f>O1</f>
        <v>2024</v>
      </c>
      <c r="C287" s="110">
        <f>'Mobile Equip'!K$24</f>
        <v>7191</v>
      </c>
      <c r="D287" s="110" t="str">
        <f>IF(ISBLANK('Mobile Equip'!L$24),"",'Mobile Equip'!L$24)</f>
        <v/>
      </c>
      <c r="E287" s="18">
        <v>20</v>
      </c>
      <c r="F287" s="18" t="str">
        <f>IF(ISBLANK('Mobile Equip'!K$30),"new_ID",start)</f>
        <v>new_ID</v>
      </c>
      <c r="G287" s="118" t="s">
        <v>94</v>
      </c>
    </row>
    <row r="288" spans="1:7" x14ac:dyDescent="0.2">
      <c r="A288" s="18">
        <f t="shared" si="6"/>
        <v>0</v>
      </c>
      <c r="B288" s="18">
        <f>O1</f>
        <v>2024</v>
      </c>
      <c r="C288" s="110">
        <f>'Mobile Equip'!N$24</f>
        <v>7321</v>
      </c>
      <c r="D288" s="110" t="str">
        <f>IF(ISBLANK('Mobile Equip'!O$24),"",'Mobile Equip'!O$24)</f>
        <v/>
      </c>
      <c r="E288" s="18">
        <v>20</v>
      </c>
      <c r="F288" s="18" t="str">
        <f>IF(ISBLANK('Mobile Equip'!N$30),"new_ID",start)</f>
        <v>new_ID</v>
      </c>
      <c r="G288" s="118" t="s">
        <v>94</v>
      </c>
    </row>
    <row r="289" spans="1:7" x14ac:dyDescent="0.2">
      <c r="A289" s="18">
        <f t="shared" si="6"/>
        <v>0</v>
      </c>
      <c r="B289" s="18">
        <f>O1</f>
        <v>2024</v>
      </c>
      <c r="C289" s="110">
        <f>'Mobile Equip'!Q$24</f>
        <v>7220</v>
      </c>
      <c r="D289" s="110" t="str">
        <f>IF(ISBLANK('Mobile Equip'!R$24),"",'Mobile Equip'!R$24)</f>
        <v/>
      </c>
      <c r="E289" s="18">
        <v>20</v>
      </c>
      <c r="F289" s="18" t="str">
        <f>IF(ISBLANK('Mobile Equip'!Q$30),"new_ID",start)</f>
        <v>new_ID</v>
      </c>
      <c r="G289" s="118" t="s">
        <v>94</v>
      </c>
    </row>
    <row r="290" spans="1:7" x14ac:dyDescent="0.2">
      <c r="A290" s="18">
        <f t="shared" si="6"/>
        <v>0</v>
      </c>
      <c r="B290" s="18">
        <f>O1</f>
        <v>2024</v>
      </c>
      <c r="C290" s="18">
        <f>'Capital Expenditures'!A4</f>
        <v>7594</v>
      </c>
      <c r="D290" s="457" t="str">
        <f>IF(AND(ISBLANK('Capital Expenditures'!J5),ISBLANK('Capital Expenditures'!K5)),"",IF(ISBLANK('Capital Expenditures'!J5),"0","1"))</f>
        <v/>
      </c>
      <c r="E290" s="18">
        <v>20</v>
      </c>
      <c r="F290" s="18">
        <f t="shared" ref="F290:F340" si="7">start</f>
        <v>0</v>
      </c>
      <c r="G290" s="117" t="s">
        <v>26</v>
      </c>
    </row>
    <row r="291" spans="1:7" x14ac:dyDescent="0.2">
      <c r="A291" s="18">
        <f t="shared" si="6"/>
        <v>0</v>
      </c>
      <c r="B291" s="18">
        <f>O1</f>
        <v>2024</v>
      </c>
      <c r="C291" s="18">
        <f>'Capital Expenditures'!A6</f>
        <v>7595</v>
      </c>
      <c r="D291" s="110" t="str">
        <f>IF(ISBLANK('Capital Expenditures'!J6),"",'Capital Expenditures'!J6)</f>
        <v/>
      </c>
      <c r="E291" s="18">
        <v>20</v>
      </c>
      <c r="F291" s="18">
        <f t="shared" si="7"/>
        <v>0</v>
      </c>
      <c r="G291" s="117" t="s">
        <v>26</v>
      </c>
    </row>
    <row r="292" spans="1:7" x14ac:dyDescent="0.2">
      <c r="A292" s="18">
        <f t="shared" si="6"/>
        <v>0</v>
      </c>
      <c r="B292" s="18">
        <f>O1</f>
        <v>2024</v>
      </c>
      <c r="C292" s="18">
        <f>'Capital Expenditures'!A7</f>
        <v>7596</v>
      </c>
      <c r="D292" s="110" t="str">
        <f>IF(ISBLANK('Capital Expenditures'!J7),"",'Capital Expenditures'!J7)</f>
        <v/>
      </c>
      <c r="E292" s="18">
        <v>20</v>
      </c>
      <c r="F292" s="18">
        <f t="shared" si="7"/>
        <v>0</v>
      </c>
      <c r="G292" s="117" t="s">
        <v>26</v>
      </c>
    </row>
    <row r="293" spans="1:7" x14ac:dyDescent="0.2">
      <c r="A293" s="18">
        <f t="shared" si="6"/>
        <v>0</v>
      </c>
      <c r="B293" s="18">
        <f>O1</f>
        <v>2024</v>
      </c>
      <c r="C293" s="18">
        <f>'Capital Expenditures'!E$12</f>
        <v>7597</v>
      </c>
      <c r="D293" s="456" t="str">
        <f>IF(OR('Capital Expenditures'!F$12=0,ISBLANK('Capital Expenditures'!F$12)),"",'Capital Expenditures'!F$12)</f>
        <v/>
      </c>
      <c r="E293" s="18">
        <v>20</v>
      </c>
      <c r="F293" s="18">
        <f t="shared" si="7"/>
        <v>0</v>
      </c>
      <c r="G293" s="117" t="s">
        <v>26</v>
      </c>
    </row>
    <row r="294" spans="1:7" x14ac:dyDescent="0.2">
      <c r="A294" s="18">
        <f t="shared" si="6"/>
        <v>0</v>
      </c>
      <c r="B294" s="18">
        <f>O1</f>
        <v>2024</v>
      </c>
      <c r="C294" s="18">
        <f>'Capital Expenditures'!E$13</f>
        <v>7610</v>
      </c>
      <c r="D294" s="456" t="str">
        <f>IF(OR('Capital Expenditures'!F$13=0,ISBLANK('Capital Expenditures'!F$13)),"",'Capital Expenditures'!F$13)</f>
        <v/>
      </c>
      <c r="E294" s="18">
        <v>20</v>
      </c>
      <c r="F294" s="18">
        <f t="shared" si="7"/>
        <v>0</v>
      </c>
      <c r="G294" s="117" t="s">
        <v>26</v>
      </c>
    </row>
    <row r="295" spans="1:7" x14ac:dyDescent="0.2">
      <c r="A295" s="18">
        <f t="shared" si="6"/>
        <v>0</v>
      </c>
      <c r="B295" s="18">
        <f>O1</f>
        <v>2024</v>
      </c>
      <c r="C295" s="18">
        <f>'Capital Expenditures'!E$14</f>
        <v>7611</v>
      </c>
      <c r="D295" s="110" t="str">
        <f>IF(ISBLANK('Capital Expenditures'!F$14),"",'Capital Expenditures'!F$14)</f>
        <v/>
      </c>
      <c r="E295" s="18">
        <v>20</v>
      </c>
      <c r="F295" s="18">
        <f t="shared" si="7"/>
        <v>0</v>
      </c>
      <c r="G295" s="117" t="s">
        <v>26</v>
      </c>
    </row>
    <row r="296" spans="1:7" x14ac:dyDescent="0.2">
      <c r="A296" s="18">
        <f t="shared" si="6"/>
        <v>0</v>
      </c>
      <c r="B296" s="18">
        <f>O1</f>
        <v>2024</v>
      </c>
      <c r="C296" s="18">
        <f>'Capital Expenditures'!E$15</f>
        <v>7612</v>
      </c>
      <c r="D296" s="110" t="str">
        <f>IF(ISBLANK('Capital Expenditures'!F$15),"",'Capital Expenditures'!F$15)</f>
        <v/>
      </c>
      <c r="E296" s="18">
        <v>20</v>
      </c>
      <c r="F296" s="18">
        <f t="shared" si="7"/>
        <v>0</v>
      </c>
      <c r="G296" s="117" t="s">
        <v>26</v>
      </c>
    </row>
    <row r="297" spans="1:7" x14ac:dyDescent="0.2">
      <c r="A297" s="18">
        <f t="shared" si="6"/>
        <v>0</v>
      </c>
      <c r="B297" s="18">
        <f>O1</f>
        <v>2024</v>
      </c>
      <c r="C297" s="18">
        <f>'Capital Expenditures'!E$16</f>
        <v>7613</v>
      </c>
      <c r="D297" s="110" t="str">
        <f>IF(ISBLANK('Capital Expenditures'!F$16),"",'Capital Expenditures'!F$16)</f>
        <v/>
      </c>
      <c r="E297" s="18">
        <v>20</v>
      </c>
      <c r="F297" s="18">
        <f t="shared" si="7"/>
        <v>0</v>
      </c>
      <c r="G297" s="117" t="s">
        <v>26</v>
      </c>
    </row>
    <row r="298" spans="1:7" x14ac:dyDescent="0.2">
      <c r="A298" s="18">
        <f t="shared" si="6"/>
        <v>0</v>
      </c>
      <c r="B298" s="18">
        <f>O1</f>
        <v>2024</v>
      </c>
      <c r="C298" s="18">
        <f>'Capital Expenditures'!E$17</f>
        <v>7614</v>
      </c>
      <c r="D298" s="110" t="str">
        <f>IF(ISBLANK('Capital Expenditures'!F$17),"",'Capital Expenditures'!F$17)</f>
        <v/>
      </c>
      <c r="E298" s="18">
        <v>20</v>
      </c>
      <c r="F298" s="18">
        <f t="shared" si="7"/>
        <v>0</v>
      </c>
      <c r="G298" s="117" t="s">
        <v>26</v>
      </c>
    </row>
    <row r="299" spans="1:7" x14ac:dyDescent="0.2">
      <c r="A299" s="18">
        <f t="shared" si="6"/>
        <v>0</v>
      </c>
      <c r="B299" s="18">
        <f>O1</f>
        <v>2024</v>
      </c>
      <c r="C299" s="18">
        <f>'Capital Expenditures'!E$18</f>
        <v>7609</v>
      </c>
      <c r="D299" s="110" t="str">
        <f>IF(ISBLANK('Capital Expenditures'!F$18),"",'Capital Expenditures'!F$18)</f>
        <v/>
      </c>
      <c r="E299" s="18">
        <v>20</v>
      </c>
      <c r="F299" s="18">
        <f t="shared" si="7"/>
        <v>0</v>
      </c>
      <c r="G299" s="117" t="s">
        <v>26</v>
      </c>
    </row>
    <row r="300" spans="1:7" x14ac:dyDescent="0.2">
      <c r="A300" s="18">
        <f t="shared" si="6"/>
        <v>0</v>
      </c>
      <c r="B300" s="18">
        <f>O1</f>
        <v>2024</v>
      </c>
      <c r="C300" s="18">
        <f>'Capital Expenditures'!E$19</f>
        <v>7615</v>
      </c>
      <c r="D300" s="456" t="str">
        <f>IF(OR('Capital Expenditures'!F$19=0,ISBLANK('Capital Expenditures'!F$19)),"",'Capital Expenditures'!F$19)</f>
        <v/>
      </c>
      <c r="E300" s="18">
        <v>20</v>
      </c>
      <c r="F300" s="18">
        <f t="shared" si="7"/>
        <v>0</v>
      </c>
      <c r="G300" s="117" t="s">
        <v>26</v>
      </c>
    </row>
    <row r="301" spans="1:7" x14ac:dyDescent="0.2">
      <c r="A301" s="18">
        <f t="shared" si="6"/>
        <v>0</v>
      </c>
      <c r="B301" s="18">
        <f>O1</f>
        <v>2024</v>
      </c>
      <c r="C301" s="18">
        <f>'Capital Expenditures'!E$20</f>
        <v>7616</v>
      </c>
      <c r="D301" s="110" t="str">
        <f>IF(ISBLANK('Capital Expenditures'!F$20),"",'Capital Expenditures'!F$20)</f>
        <v/>
      </c>
      <c r="E301" s="18">
        <v>20</v>
      </c>
      <c r="F301" s="18">
        <f t="shared" si="7"/>
        <v>0</v>
      </c>
      <c r="G301" s="117" t="s">
        <v>26</v>
      </c>
    </row>
    <row r="302" spans="1:7" x14ac:dyDescent="0.2">
      <c r="A302" s="18">
        <f t="shared" si="6"/>
        <v>0</v>
      </c>
      <c r="B302" s="18">
        <f>O1</f>
        <v>2024</v>
      </c>
      <c r="C302" s="18">
        <f>'Capital Expenditures'!E$21</f>
        <v>7617</v>
      </c>
      <c r="D302" s="110" t="str">
        <f>IF(ISBLANK('Capital Expenditures'!F$21),"",'Capital Expenditures'!F$21)</f>
        <v/>
      </c>
      <c r="E302" s="18">
        <v>20</v>
      </c>
      <c r="F302" s="18">
        <f t="shared" si="7"/>
        <v>0</v>
      </c>
      <c r="G302" s="117" t="s">
        <v>26</v>
      </c>
    </row>
    <row r="303" spans="1:7" x14ac:dyDescent="0.2">
      <c r="A303" s="18">
        <f t="shared" si="6"/>
        <v>0</v>
      </c>
      <c r="B303" s="18">
        <f>O1</f>
        <v>2024</v>
      </c>
      <c r="C303" s="18">
        <f>'Capital Expenditures'!E$22</f>
        <v>7618</v>
      </c>
      <c r="D303" s="110" t="str">
        <f>IF(ISBLANK('Capital Expenditures'!F$22),"",'Capital Expenditures'!F$22)</f>
        <v/>
      </c>
      <c r="E303" s="18">
        <v>20</v>
      </c>
      <c r="F303" s="18">
        <f t="shared" si="7"/>
        <v>0</v>
      </c>
      <c r="G303" s="117" t="s">
        <v>26</v>
      </c>
    </row>
    <row r="304" spans="1:7" x14ac:dyDescent="0.2">
      <c r="A304" s="18">
        <f t="shared" si="6"/>
        <v>0</v>
      </c>
      <c r="B304" s="18">
        <f>O1</f>
        <v>2024</v>
      </c>
      <c r="C304" s="18">
        <f>'Capital Expenditures'!E$23</f>
        <v>7619</v>
      </c>
      <c r="D304" s="456" t="str">
        <f>IF(OR('Capital Expenditures'!F$23=0,ISBLANK('Capital Expenditures'!F$23)),"",'Capital Expenditures'!F$23)</f>
        <v/>
      </c>
      <c r="E304" s="18">
        <v>20</v>
      </c>
      <c r="F304" s="18">
        <f t="shared" si="7"/>
        <v>0</v>
      </c>
      <c r="G304" s="117" t="s">
        <v>26</v>
      </c>
    </row>
    <row r="305" spans="1:7" x14ac:dyDescent="0.2">
      <c r="A305" s="18">
        <f t="shared" si="6"/>
        <v>0</v>
      </c>
      <c r="B305" s="18">
        <f>O1</f>
        <v>2024</v>
      </c>
      <c r="C305" s="18">
        <f>'Capital Expenditures'!H$12</f>
        <v>7620</v>
      </c>
      <c r="D305" s="456" t="str">
        <f>IF(OR('Capital Expenditures'!I$12=0,ISBLANK('Capital Expenditures'!I$12)),"",'Capital Expenditures'!I$12)</f>
        <v/>
      </c>
      <c r="E305" s="18">
        <v>20</v>
      </c>
      <c r="F305" s="18">
        <f t="shared" si="7"/>
        <v>0</v>
      </c>
      <c r="G305" s="118" t="s">
        <v>26</v>
      </c>
    </row>
    <row r="306" spans="1:7" x14ac:dyDescent="0.2">
      <c r="A306" s="18">
        <f t="shared" si="6"/>
        <v>0</v>
      </c>
      <c r="B306" s="18">
        <f>O1</f>
        <v>2024</v>
      </c>
      <c r="C306" s="18">
        <f>'Capital Expenditures'!H$13</f>
        <v>7633</v>
      </c>
      <c r="D306" s="456" t="str">
        <f>IF(OR('Capital Expenditures'!I$13=0,ISBLANK('Capital Expenditures'!I$13)),"",'Capital Expenditures'!I$13)</f>
        <v/>
      </c>
      <c r="E306" s="18">
        <v>20</v>
      </c>
      <c r="F306" s="18">
        <f t="shared" si="7"/>
        <v>0</v>
      </c>
      <c r="G306" s="117" t="s">
        <v>26</v>
      </c>
    </row>
    <row r="307" spans="1:7" x14ac:dyDescent="0.2">
      <c r="A307" s="18">
        <f t="shared" si="6"/>
        <v>0</v>
      </c>
      <c r="B307" s="18">
        <f>O1</f>
        <v>2024</v>
      </c>
      <c r="C307" s="18">
        <f>'Capital Expenditures'!H$14</f>
        <v>7634</v>
      </c>
      <c r="D307" s="110" t="str">
        <f>IF(ISBLANK('Capital Expenditures'!I$14),"",'Capital Expenditures'!I$14)</f>
        <v/>
      </c>
      <c r="E307" s="18">
        <v>20</v>
      </c>
      <c r="F307" s="18">
        <f t="shared" si="7"/>
        <v>0</v>
      </c>
      <c r="G307" s="117" t="s">
        <v>26</v>
      </c>
    </row>
    <row r="308" spans="1:7" x14ac:dyDescent="0.2">
      <c r="A308" s="18">
        <f t="shared" si="6"/>
        <v>0</v>
      </c>
      <c r="B308" s="18">
        <f>O1</f>
        <v>2024</v>
      </c>
      <c r="C308" s="18">
        <f>'Capital Expenditures'!H$15</f>
        <v>7635</v>
      </c>
      <c r="D308" s="110" t="str">
        <f>IF(ISBLANK('Capital Expenditures'!I$15),"",'Capital Expenditures'!I$15)</f>
        <v/>
      </c>
      <c r="E308" s="18">
        <v>20</v>
      </c>
      <c r="F308" s="18">
        <f t="shared" si="7"/>
        <v>0</v>
      </c>
      <c r="G308" s="117" t="s">
        <v>26</v>
      </c>
    </row>
    <row r="309" spans="1:7" x14ac:dyDescent="0.2">
      <c r="A309" s="18">
        <f t="shared" si="6"/>
        <v>0</v>
      </c>
      <c r="B309" s="18">
        <f>O1</f>
        <v>2024</v>
      </c>
      <c r="C309" s="18">
        <f>'Capital Expenditures'!H$16</f>
        <v>7636</v>
      </c>
      <c r="D309" s="110" t="str">
        <f>IF(ISBLANK('Capital Expenditures'!I$16),"",'Capital Expenditures'!I$16)</f>
        <v/>
      </c>
      <c r="E309" s="18">
        <v>20</v>
      </c>
      <c r="F309" s="18">
        <f t="shared" si="7"/>
        <v>0</v>
      </c>
      <c r="G309" s="117" t="s">
        <v>26</v>
      </c>
    </row>
    <row r="310" spans="1:7" x14ac:dyDescent="0.2">
      <c r="A310" s="18">
        <f t="shared" si="6"/>
        <v>0</v>
      </c>
      <c r="B310" s="18">
        <f>O1</f>
        <v>2024</v>
      </c>
      <c r="C310" s="18">
        <f>'Capital Expenditures'!H$17</f>
        <v>7637</v>
      </c>
      <c r="D310" s="110" t="str">
        <f>IF(ISBLANK('Capital Expenditures'!I$17),"",'Capital Expenditures'!I$17)</f>
        <v/>
      </c>
      <c r="E310" s="18">
        <v>20</v>
      </c>
      <c r="F310" s="18">
        <f t="shared" si="7"/>
        <v>0</v>
      </c>
      <c r="G310" s="117" t="s">
        <v>26</v>
      </c>
    </row>
    <row r="311" spans="1:7" x14ac:dyDescent="0.2">
      <c r="A311" s="18">
        <f t="shared" si="6"/>
        <v>0</v>
      </c>
      <c r="B311" s="18">
        <f>O1</f>
        <v>2024</v>
      </c>
      <c r="C311" s="18">
        <f>'Capital Expenditures'!H$18</f>
        <v>7632</v>
      </c>
      <c r="D311" s="110" t="str">
        <f>IF(ISBLANK('Capital Expenditures'!I$18),"",'Capital Expenditures'!I$18)</f>
        <v/>
      </c>
      <c r="E311" s="18">
        <v>20</v>
      </c>
      <c r="F311" s="18">
        <f t="shared" si="7"/>
        <v>0</v>
      </c>
      <c r="G311" s="117" t="s">
        <v>26</v>
      </c>
    </row>
    <row r="312" spans="1:7" x14ac:dyDescent="0.2">
      <c r="A312" s="18">
        <f t="shared" si="6"/>
        <v>0</v>
      </c>
      <c r="B312" s="18">
        <f>O1</f>
        <v>2024</v>
      </c>
      <c r="C312" s="18">
        <f>'Capital Expenditures'!H$19</f>
        <v>7638</v>
      </c>
      <c r="D312" s="456" t="str">
        <f>IF(OR('Capital Expenditures'!I$19=0,ISBLANK('Capital Expenditures'!I$19)),"",'Capital Expenditures'!I$19)</f>
        <v/>
      </c>
      <c r="E312" s="18">
        <v>20</v>
      </c>
      <c r="F312" s="18">
        <f t="shared" si="7"/>
        <v>0</v>
      </c>
      <c r="G312" s="117" t="s">
        <v>26</v>
      </c>
    </row>
    <row r="313" spans="1:7" x14ac:dyDescent="0.2">
      <c r="A313" s="18">
        <f t="shared" si="6"/>
        <v>0</v>
      </c>
      <c r="B313" s="18">
        <f>O1</f>
        <v>2024</v>
      </c>
      <c r="C313" s="18">
        <f>'Capital Expenditures'!H$20</f>
        <v>7639</v>
      </c>
      <c r="D313" s="110" t="str">
        <f>IF(ISBLANK('Capital Expenditures'!I$20),"",'Capital Expenditures'!I$20)</f>
        <v/>
      </c>
      <c r="E313" s="18">
        <v>20</v>
      </c>
      <c r="F313" s="18">
        <f t="shared" si="7"/>
        <v>0</v>
      </c>
      <c r="G313" s="117" t="s">
        <v>26</v>
      </c>
    </row>
    <row r="314" spans="1:7" x14ac:dyDescent="0.2">
      <c r="A314" s="18">
        <f t="shared" si="6"/>
        <v>0</v>
      </c>
      <c r="B314" s="18">
        <f>O1</f>
        <v>2024</v>
      </c>
      <c r="C314" s="18">
        <f>'Capital Expenditures'!H$21</f>
        <v>7640</v>
      </c>
      <c r="D314" s="110" t="str">
        <f>IF(ISBLANK('Capital Expenditures'!I$21),"",'Capital Expenditures'!I$21)</f>
        <v/>
      </c>
      <c r="E314" s="18">
        <v>20</v>
      </c>
      <c r="F314" s="18">
        <f t="shared" si="7"/>
        <v>0</v>
      </c>
      <c r="G314" s="117" t="s">
        <v>26</v>
      </c>
    </row>
    <row r="315" spans="1:7" x14ac:dyDescent="0.2">
      <c r="A315" s="18">
        <f t="shared" si="6"/>
        <v>0</v>
      </c>
      <c r="B315" s="18">
        <f>O1</f>
        <v>2024</v>
      </c>
      <c r="C315" s="18">
        <f>'Capital Expenditures'!H$22</f>
        <v>7641</v>
      </c>
      <c r="D315" s="110" t="str">
        <f>IF(ISBLANK('Capital Expenditures'!I$22),"",'Capital Expenditures'!I$22)</f>
        <v/>
      </c>
      <c r="E315" s="18">
        <v>20</v>
      </c>
      <c r="F315" s="18">
        <f t="shared" si="7"/>
        <v>0</v>
      </c>
      <c r="G315" s="117" t="s">
        <v>26</v>
      </c>
    </row>
    <row r="316" spans="1:7" x14ac:dyDescent="0.2">
      <c r="A316" s="18">
        <f t="shared" si="6"/>
        <v>0</v>
      </c>
      <c r="B316" s="18">
        <f>O1</f>
        <v>2024</v>
      </c>
      <c r="C316" s="18">
        <f>'Capital Expenditures'!H$23</f>
        <v>7642</v>
      </c>
      <c r="D316" s="456" t="str">
        <f>IF(OR('Capital Expenditures'!I$23=0,ISBLANK('Capital Expenditures'!I$23)),"",'Capital Expenditures'!I$23)</f>
        <v/>
      </c>
      <c r="E316" s="18">
        <v>20</v>
      </c>
      <c r="F316" s="18">
        <f t="shared" si="7"/>
        <v>0</v>
      </c>
      <c r="G316" s="117" t="s">
        <v>26</v>
      </c>
    </row>
    <row r="317" spans="1:7" x14ac:dyDescent="0.2">
      <c r="A317" s="18">
        <f t="shared" si="6"/>
        <v>0</v>
      </c>
      <c r="B317" s="18">
        <f>O1</f>
        <v>2024</v>
      </c>
      <c r="C317" s="18">
        <f>'Capital Expenditures'!K$12</f>
        <v>7643</v>
      </c>
      <c r="D317" s="456" t="str">
        <f>IF(OR('Capital Expenditures'!L$12=0,ISBLANK('Capital Expenditures'!L$12)),"",'Capital Expenditures'!L$12)</f>
        <v/>
      </c>
      <c r="E317" s="18">
        <v>20</v>
      </c>
      <c r="F317" s="18">
        <f t="shared" si="7"/>
        <v>0</v>
      </c>
      <c r="G317" s="117" t="s">
        <v>26</v>
      </c>
    </row>
    <row r="318" spans="1:7" x14ac:dyDescent="0.2">
      <c r="A318" s="18">
        <f t="shared" si="6"/>
        <v>0</v>
      </c>
      <c r="B318" s="18">
        <f>O1</f>
        <v>2024</v>
      </c>
      <c r="C318" s="18">
        <f>'Capital Expenditures'!K$13</f>
        <v>7656</v>
      </c>
      <c r="D318" s="456" t="str">
        <f>IF(OR('Capital Expenditures'!L$13=0,ISBLANK('Capital Expenditures'!L$13)),"",'Capital Expenditures'!L$13)</f>
        <v/>
      </c>
      <c r="E318" s="18">
        <v>20</v>
      </c>
      <c r="F318" s="18">
        <f t="shared" si="7"/>
        <v>0</v>
      </c>
      <c r="G318" s="117" t="s">
        <v>26</v>
      </c>
    </row>
    <row r="319" spans="1:7" x14ac:dyDescent="0.2">
      <c r="A319" s="18">
        <f t="shared" si="6"/>
        <v>0</v>
      </c>
      <c r="B319" s="18">
        <f>O1</f>
        <v>2024</v>
      </c>
      <c r="C319" s="18">
        <f>'Capital Expenditures'!K$14</f>
        <v>7657</v>
      </c>
      <c r="D319" s="110" t="str">
        <f>IF(ISBLANK('Capital Expenditures'!L$14),"",'Capital Expenditures'!L$14)</f>
        <v/>
      </c>
      <c r="E319" s="18">
        <v>20</v>
      </c>
      <c r="F319" s="18">
        <f t="shared" si="7"/>
        <v>0</v>
      </c>
      <c r="G319" s="117" t="s">
        <v>26</v>
      </c>
    </row>
    <row r="320" spans="1:7" x14ac:dyDescent="0.2">
      <c r="A320" s="18">
        <f t="shared" si="6"/>
        <v>0</v>
      </c>
      <c r="B320" s="18">
        <f>O1</f>
        <v>2024</v>
      </c>
      <c r="C320" s="18">
        <f>'Capital Expenditures'!K$15</f>
        <v>7658</v>
      </c>
      <c r="D320" s="110" t="str">
        <f>IF(ISBLANK('Capital Expenditures'!L$15),"",'Capital Expenditures'!L$15)</f>
        <v/>
      </c>
      <c r="E320" s="18">
        <v>20</v>
      </c>
      <c r="F320" s="18">
        <f t="shared" si="7"/>
        <v>0</v>
      </c>
      <c r="G320" s="117" t="s">
        <v>26</v>
      </c>
    </row>
    <row r="321" spans="1:7" x14ac:dyDescent="0.2">
      <c r="A321" s="18">
        <f t="shared" si="6"/>
        <v>0</v>
      </c>
      <c r="B321" s="18">
        <f>O1</f>
        <v>2024</v>
      </c>
      <c r="C321" s="18">
        <f>'Capital Expenditures'!K$16</f>
        <v>7659</v>
      </c>
      <c r="D321" s="110" t="str">
        <f>IF(ISBLANK('Capital Expenditures'!L$16),"",'Capital Expenditures'!L$16)</f>
        <v/>
      </c>
      <c r="E321" s="18">
        <v>20</v>
      </c>
      <c r="F321" s="18">
        <f t="shared" si="7"/>
        <v>0</v>
      </c>
      <c r="G321" s="117" t="s">
        <v>26</v>
      </c>
    </row>
    <row r="322" spans="1:7" x14ac:dyDescent="0.2">
      <c r="A322" s="18">
        <f t="shared" si="6"/>
        <v>0</v>
      </c>
      <c r="B322" s="18">
        <f>O1</f>
        <v>2024</v>
      </c>
      <c r="C322" s="18">
        <f>'Capital Expenditures'!K$17</f>
        <v>7660</v>
      </c>
      <c r="D322" s="110" t="str">
        <f>IF(ISBLANK('Capital Expenditures'!L$17),"",'Capital Expenditures'!L$17)</f>
        <v/>
      </c>
      <c r="E322" s="18">
        <v>20</v>
      </c>
      <c r="F322" s="18">
        <f t="shared" si="7"/>
        <v>0</v>
      </c>
      <c r="G322" s="117" t="s">
        <v>26</v>
      </c>
    </row>
    <row r="323" spans="1:7" x14ac:dyDescent="0.2">
      <c r="A323" s="18">
        <f t="shared" si="6"/>
        <v>0</v>
      </c>
      <c r="B323" s="18">
        <f>O1</f>
        <v>2024</v>
      </c>
      <c r="C323" s="18">
        <f>'Capital Expenditures'!K$18</f>
        <v>7655</v>
      </c>
      <c r="D323" s="110" t="str">
        <f>IF(ISBLANK('Capital Expenditures'!L$18),"",'Capital Expenditures'!L$18)</f>
        <v/>
      </c>
      <c r="E323" s="18">
        <v>20</v>
      </c>
      <c r="F323" s="18">
        <f t="shared" si="7"/>
        <v>0</v>
      </c>
      <c r="G323" s="117" t="s">
        <v>26</v>
      </c>
    </row>
    <row r="324" spans="1:7" x14ac:dyDescent="0.2">
      <c r="A324" s="18">
        <f t="shared" si="6"/>
        <v>0</v>
      </c>
      <c r="B324" s="18">
        <f>O1</f>
        <v>2024</v>
      </c>
      <c r="C324" s="18">
        <f>'Capital Expenditures'!K$19</f>
        <v>7661</v>
      </c>
      <c r="D324" s="456" t="str">
        <f>IF(OR('Capital Expenditures'!L$19=0,ISBLANK('Capital Expenditures'!L$19)),"",'Capital Expenditures'!L$19)</f>
        <v/>
      </c>
      <c r="E324" s="18">
        <v>20</v>
      </c>
      <c r="F324" s="18">
        <f t="shared" si="7"/>
        <v>0</v>
      </c>
      <c r="G324" s="117" t="s">
        <v>26</v>
      </c>
    </row>
    <row r="325" spans="1:7" x14ac:dyDescent="0.2">
      <c r="A325" s="18">
        <f t="shared" si="6"/>
        <v>0</v>
      </c>
      <c r="B325" s="18">
        <f>O1</f>
        <v>2024</v>
      </c>
      <c r="C325" s="18">
        <f>'Capital Expenditures'!K$20</f>
        <v>7662</v>
      </c>
      <c r="D325" s="110" t="str">
        <f>IF(ISBLANK('Capital Expenditures'!L$20),"",'Capital Expenditures'!L$20)</f>
        <v/>
      </c>
      <c r="E325" s="18">
        <v>20</v>
      </c>
      <c r="F325" s="18">
        <f t="shared" si="7"/>
        <v>0</v>
      </c>
      <c r="G325" s="117" t="s">
        <v>26</v>
      </c>
    </row>
    <row r="326" spans="1:7" x14ac:dyDescent="0.2">
      <c r="A326" s="18">
        <f t="shared" ref="A326:A340" si="8">start</f>
        <v>0</v>
      </c>
      <c r="B326" s="18">
        <f>O1</f>
        <v>2024</v>
      </c>
      <c r="C326" s="18">
        <f>'Capital Expenditures'!K$21</f>
        <v>7663</v>
      </c>
      <c r="D326" s="110" t="str">
        <f>IF(ISBLANK('Capital Expenditures'!L$21),"",'Capital Expenditures'!L$21)</f>
        <v/>
      </c>
      <c r="E326" s="18">
        <v>20</v>
      </c>
      <c r="F326" s="18">
        <f t="shared" si="7"/>
        <v>0</v>
      </c>
      <c r="G326" s="117" t="s">
        <v>26</v>
      </c>
    </row>
    <row r="327" spans="1:7" x14ac:dyDescent="0.2">
      <c r="A327" s="18">
        <f t="shared" si="8"/>
        <v>0</v>
      </c>
      <c r="B327" s="18">
        <f>O1</f>
        <v>2024</v>
      </c>
      <c r="C327" s="18">
        <f>'Capital Expenditures'!K$22</f>
        <v>7664</v>
      </c>
      <c r="D327" s="110" t="str">
        <f>IF(ISBLANK('Capital Expenditures'!L$22),"",'Capital Expenditures'!L$22)</f>
        <v/>
      </c>
      <c r="E327" s="18">
        <v>20</v>
      </c>
      <c r="F327" s="18">
        <f t="shared" si="7"/>
        <v>0</v>
      </c>
      <c r="G327" s="117" t="s">
        <v>26</v>
      </c>
    </row>
    <row r="328" spans="1:7" x14ac:dyDescent="0.2">
      <c r="A328" s="18">
        <f t="shared" si="8"/>
        <v>0</v>
      </c>
      <c r="B328" s="18">
        <f>O1</f>
        <v>2024</v>
      </c>
      <c r="C328" s="18">
        <f>'Capital Expenditures'!K$23</f>
        <v>7665</v>
      </c>
      <c r="D328" s="456" t="str">
        <f>IF(OR('Capital Expenditures'!L$23=0,ISBLANK('Capital Expenditures'!L$23)),"",'Capital Expenditures'!L$23)</f>
        <v/>
      </c>
      <c r="E328" s="18">
        <v>20</v>
      </c>
      <c r="F328" s="18">
        <f t="shared" si="7"/>
        <v>0</v>
      </c>
      <c r="G328" s="117" t="s">
        <v>26</v>
      </c>
    </row>
    <row r="329" spans="1:7" x14ac:dyDescent="0.2">
      <c r="A329" s="18">
        <f t="shared" si="8"/>
        <v>0</v>
      </c>
      <c r="B329" s="18">
        <f>O1</f>
        <v>2024</v>
      </c>
      <c r="C329" s="18">
        <f>'Capital Expenditures'!N$12</f>
        <v>7666</v>
      </c>
      <c r="D329" s="456" t="str">
        <f>IF(OR('Capital Expenditures'!O$12=0,ISBLANK('Capital Expenditures'!O$12)),"",'Capital Expenditures'!O$12)</f>
        <v/>
      </c>
      <c r="E329" s="18">
        <v>20</v>
      </c>
      <c r="F329" s="18">
        <f t="shared" si="7"/>
        <v>0</v>
      </c>
      <c r="G329" s="117" t="s">
        <v>26</v>
      </c>
    </row>
    <row r="330" spans="1:7" x14ac:dyDescent="0.2">
      <c r="A330" s="18">
        <f t="shared" si="8"/>
        <v>0</v>
      </c>
      <c r="B330" s="18">
        <f>O1</f>
        <v>2024</v>
      </c>
      <c r="C330" s="18">
        <f>'Capital Expenditures'!N$13</f>
        <v>7679</v>
      </c>
      <c r="D330" s="456" t="str">
        <f>IF(OR('Capital Expenditures'!O$13=0,ISBLANK('Capital Expenditures'!O$13)),"",'Capital Expenditures'!O$13)</f>
        <v/>
      </c>
      <c r="E330" s="18">
        <v>20</v>
      </c>
      <c r="F330" s="18">
        <f t="shared" si="7"/>
        <v>0</v>
      </c>
      <c r="G330" s="117" t="s">
        <v>26</v>
      </c>
    </row>
    <row r="331" spans="1:7" x14ac:dyDescent="0.2">
      <c r="A331" s="18">
        <f t="shared" si="8"/>
        <v>0</v>
      </c>
      <c r="B331" s="18">
        <f>O1</f>
        <v>2024</v>
      </c>
      <c r="C331" s="18">
        <f>'Capital Expenditures'!N$14</f>
        <v>7680</v>
      </c>
      <c r="D331" s="110">
        <f>IF(ISBLANK('Capital Expenditures'!O$14),"",'Capital Expenditures'!O$14)</f>
        <v>0</v>
      </c>
      <c r="E331" s="18">
        <v>20</v>
      </c>
      <c r="F331" s="18">
        <f t="shared" si="7"/>
        <v>0</v>
      </c>
      <c r="G331" s="117" t="s">
        <v>26</v>
      </c>
    </row>
    <row r="332" spans="1:7" x14ac:dyDescent="0.2">
      <c r="A332" s="18">
        <f t="shared" si="8"/>
        <v>0</v>
      </c>
      <c r="B332" s="18">
        <f>O1</f>
        <v>2024</v>
      </c>
      <c r="C332" s="18">
        <f>'Capital Expenditures'!N$15</f>
        <v>7681</v>
      </c>
      <c r="D332" s="110">
        <f>IF(ISBLANK('Capital Expenditures'!O$15),"",'Capital Expenditures'!O$15)</f>
        <v>0</v>
      </c>
      <c r="E332" s="18">
        <v>20</v>
      </c>
      <c r="F332" s="18">
        <f t="shared" si="7"/>
        <v>0</v>
      </c>
      <c r="G332" s="117" t="s">
        <v>26</v>
      </c>
    </row>
    <row r="333" spans="1:7" x14ac:dyDescent="0.2">
      <c r="A333" s="18">
        <f t="shared" si="8"/>
        <v>0</v>
      </c>
      <c r="B333" s="18">
        <f>O1</f>
        <v>2024</v>
      </c>
      <c r="C333" s="18">
        <f>'Capital Expenditures'!N$16</f>
        <v>7682</v>
      </c>
      <c r="D333" s="110">
        <f>IF(ISBLANK('Capital Expenditures'!O$16),"",'Capital Expenditures'!O$16)</f>
        <v>0</v>
      </c>
      <c r="E333" s="18">
        <v>20</v>
      </c>
      <c r="F333" s="18">
        <f t="shared" si="7"/>
        <v>0</v>
      </c>
      <c r="G333" s="117" t="s">
        <v>26</v>
      </c>
    </row>
    <row r="334" spans="1:7" x14ac:dyDescent="0.2">
      <c r="A334" s="18">
        <f t="shared" si="8"/>
        <v>0</v>
      </c>
      <c r="B334" s="18">
        <f>O1</f>
        <v>2024</v>
      </c>
      <c r="C334" s="18">
        <f>'Capital Expenditures'!N$17</f>
        <v>7683</v>
      </c>
      <c r="D334" s="110">
        <f>IF(ISBLANK('Capital Expenditures'!O$17),"",'Capital Expenditures'!O$17)</f>
        <v>0</v>
      </c>
      <c r="E334" s="18">
        <v>20</v>
      </c>
      <c r="F334" s="18">
        <f t="shared" si="7"/>
        <v>0</v>
      </c>
      <c r="G334" s="117" t="s">
        <v>26</v>
      </c>
    </row>
    <row r="335" spans="1:7" x14ac:dyDescent="0.2">
      <c r="A335" s="18">
        <f t="shared" si="8"/>
        <v>0</v>
      </c>
      <c r="B335" s="18">
        <f>O1</f>
        <v>2024</v>
      </c>
      <c r="C335" s="18">
        <f>'Capital Expenditures'!N$18</f>
        <v>7678</v>
      </c>
      <c r="D335" s="110">
        <f>IF(ISBLANK('Capital Expenditures'!O$18),"",'Capital Expenditures'!O$18)</f>
        <v>0</v>
      </c>
      <c r="E335" s="18">
        <v>20</v>
      </c>
      <c r="F335" s="18">
        <f t="shared" si="7"/>
        <v>0</v>
      </c>
      <c r="G335" s="117" t="s">
        <v>26</v>
      </c>
    </row>
    <row r="336" spans="1:7" x14ac:dyDescent="0.2">
      <c r="A336" s="18">
        <f t="shared" si="8"/>
        <v>0</v>
      </c>
      <c r="B336" s="18">
        <f>O1</f>
        <v>2024</v>
      </c>
      <c r="C336" s="18">
        <f>'Capital Expenditures'!N$19</f>
        <v>7684</v>
      </c>
      <c r="D336" s="456" t="str">
        <f>IF(OR('Capital Expenditures'!O$19=0,ISBLANK('Capital Expenditures'!O$19)),"",'Capital Expenditures'!O$19)</f>
        <v/>
      </c>
      <c r="E336" s="18">
        <v>20</v>
      </c>
      <c r="F336" s="18">
        <f t="shared" si="7"/>
        <v>0</v>
      </c>
      <c r="G336" s="117" t="s">
        <v>26</v>
      </c>
    </row>
    <row r="337" spans="1:7" x14ac:dyDescent="0.2">
      <c r="A337" s="18">
        <f t="shared" si="8"/>
        <v>0</v>
      </c>
      <c r="B337" s="18">
        <f>O1</f>
        <v>2024</v>
      </c>
      <c r="C337" s="18">
        <f>'Capital Expenditures'!N$20</f>
        <v>7685</v>
      </c>
      <c r="D337" s="110">
        <f>IF(ISBLANK('Capital Expenditures'!O$20),"",'Capital Expenditures'!O$20)</f>
        <v>0</v>
      </c>
      <c r="E337" s="18">
        <v>20</v>
      </c>
      <c r="F337" s="18">
        <f t="shared" si="7"/>
        <v>0</v>
      </c>
      <c r="G337" s="117" t="s">
        <v>26</v>
      </c>
    </row>
    <row r="338" spans="1:7" x14ac:dyDescent="0.2">
      <c r="A338" s="18">
        <f t="shared" si="8"/>
        <v>0</v>
      </c>
      <c r="B338" s="18">
        <f>O1</f>
        <v>2024</v>
      </c>
      <c r="C338" s="18">
        <f>'Capital Expenditures'!N$21</f>
        <v>7686</v>
      </c>
      <c r="D338" s="110">
        <f>IF(ISBLANK('Capital Expenditures'!O$21),"",'Capital Expenditures'!O$21)</f>
        <v>0</v>
      </c>
      <c r="E338" s="18">
        <v>20</v>
      </c>
      <c r="F338" s="18">
        <f t="shared" si="7"/>
        <v>0</v>
      </c>
      <c r="G338" s="117" t="s">
        <v>26</v>
      </c>
    </row>
    <row r="339" spans="1:7" x14ac:dyDescent="0.2">
      <c r="A339" s="18">
        <f t="shared" si="8"/>
        <v>0</v>
      </c>
      <c r="B339" s="18">
        <f>O1</f>
        <v>2024</v>
      </c>
      <c r="C339" s="18">
        <f>'Capital Expenditures'!N$22</f>
        <v>7687</v>
      </c>
      <c r="D339" s="110">
        <f>IF(ISBLANK('Capital Expenditures'!O$22),"",'Capital Expenditures'!O$22)</f>
        <v>0</v>
      </c>
      <c r="E339" s="18">
        <v>20</v>
      </c>
      <c r="F339" s="18">
        <f t="shared" si="7"/>
        <v>0</v>
      </c>
      <c r="G339" s="117" t="s">
        <v>26</v>
      </c>
    </row>
    <row r="340" spans="1:7" x14ac:dyDescent="0.2">
      <c r="A340" s="18">
        <f t="shared" si="8"/>
        <v>0</v>
      </c>
      <c r="B340" s="18">
        <f>O1</f>
        <v>2024</v>
      </c>
      <c r="C340" s="18">
        <f>'Capital Expenditures'!N$23</f>
        <v>7688</v>
      </c>
      <c r="D340" s="456" t="str">
        <f>IF(OR('Capital Expenditures'!O$23=0,ISBLANK('Capital Expenditures'!O$23)),"",'Capital Expenditures'!O$23)</f>
        <v/>
      </c>
      <c r="E340" s="18">
        <v>20</v>
      </c>
      <c r="F340" s="18">
        <f t="shared" si="7"/>
        <v>0</v>
      </c>
      <c r="G340" s="117" t="s">
        <v>26</v>
      </c>
    </row>
    <row r="341" spans="1:7" s="111" customFormat="1" x14ac:dyDescent="0.2"/>
  </sheetData>
  <sheetProtection sheet="1" objects="1" scenarios="1"/>
  <mergeCells count="2">
    <mergeCell ref="H1:I1"/>
    <mergeCell ref="P9:R10"/>
  </mergeCells>
  <phoneticPr fontId="6" type="noConversion"/>
  <printOptions horizontalCentered="1"/>
  <pageMargins left="0.75" right="0.75" top="1" bottom="1" header="0.5" footer="0.5"/>
  <pageSetup scale="51" fitToHeight="2" orientation="portrait" r:id="rId1"/>
  <headerFooter alignWithMargins="0">
    <oddFooter>&amp;L&amp;"Calibri,Regular"Diagnostic Imaging Facility Utilization Report
Fiscal Year 2024
&amp;C&amp;"Calibri,Regular"&amp;P of &amp;N&amp;R&amp;"Calibri,Regular"Minnesota Department of Health
Phone 651-201-3572
health.hccis@state.mn.us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26"/>
  </sheetPr>
  <dimension ref="A1:U1048568"/>
  <sheetViews>
    <sheetView tabSelected="1" zoomScaleNormal="100" workbookViewId="0">
      <selection sqref="A1:K1"/>
    </sheetView>
  </sheetViews>
  <sheetFormatPr defaultColWidth="0" defaultRowHeight="15.75" zeroHeight="1" x14ac:dyDescent="0.2"/>
  <cols>
    <col min="1" max="1" width="9.140625" style="125" customWidth="1"/>
    <col min="2" max="11" width="9.140625" style="119" customWidth="1"/>
    <col min="12" max="21" width="0" style="119" hidden="1" customWidth="1"/>
    <col min="22" max="16384" width="9.140625" style="119" hidden="1"/>
  </cols>
  <sheetData>
    <row r="1" spans="1:21" ht="57.75" customHeight="1" x14ac:dyDescent="0.2">
      <c r="A1" s="618" t="str">
        <f>CONCATENATE("Diagnostic Imaging Facility
Utilization Report ",'Demog Contact'!L1)</f>
        <v>Diagnostic Imaging Facility
Utilization Report 2024</v>
      </c>
      <c r="B1" s="619"/>
      <c r="C1" s="619"/>
      <c r="D1" s="619"/>
      <c r="E1" s="619"/>
      <c r="F1" s="619"/>
      <c r="G1" s="619"/>
      <c r="H1" s="619"/>
      <c r="I1" s="619"/>
      <c r="J1" s="619"/>
      <c r="K1" s="619"/>
    </row>
    <row r="2" spans="1:21" ht="67.5" customHeight="1" x14ac:dyDescent="0.2">
      <c r="A2" s="120">
        <v>1</v>
      </c>
      <c r="B2" s="620" t="s">
        <v>718</v>
      </c>
      <c r="C2" s="620"/>
      <c r="D2" s="620"/>
      <c r="E2" s="620"/>
      <c r="F2" s="620"/>
      <c r="G2" s="620"/>
      <c r="H2" s="620"/>
      <c r="I2" s="620"/>
      <c r="J2" s="620"/>
      <c r="K2" s="620"/>
      <c r="L2" s="624"/>
      <c r="M2" s="624"/>
      <c r="N2" s="624"/>
      <c r="O2" s="624"/>
      <c r="P2" s="624"/>
      <c r="Q2" s="624"/>
      <c r="R2" s="624"/>
      <c r="S2" s="624"/>
      <c r="T2" s="624"/>
      <c r="U2" s="624"/>
    </row>
    <row r="3" spans="1:21" s="569" customFormat="1" ht="26.25" customHeight="1" x14ac:dyDescent="0.2">
      <c r="A3" s="564" t="s">
        <v>752</v>
      </c>
      <c r="B3" s="621" t="s">
        <v>234</v>
      </c>
      <c r="C3" s="621"/>
      <c r="D3" s="621"/>
      <c r="E3" s="621"/>
      <c r="F3" s="621"/>
      <c r="G3" s="621"/>
      <c r="H3" s="621"/>
      <c r="I3" s="621"/>
      <c r="J3" s="621"/>
      <c r="K3" s="621"/>
      <c r="L3" s="565"/>
      <c r="M3" s="565"/>
      <c r="N3" s="565"/>
      <c r="O3" s="565"/>
      <c r="P3" s="565"/>
      <c r="Q3" s="565"/>
      <c r="R3" s="565"/>
      <c r="S3" s="565"/>
      <c r="T3" s="565"/>
      <c r="U3" s="565"/>
    </row>
    <row r="4" spans="1:21" ht="84.6" customHeight="1" x14ac:dyDescent="0.2">
      <c r="A4" s="120">
        <v>2</v>
      </c>
      <c r="B4" s="620" t="s">
        <v>753</v>
      </c>
      <c r="C4" s="620"/>
      <c r="D4" s="620"/>
      <c r="E4" s="620"/>
      <c r="F4" s="620"/>
      <c r="G4" s="620"/>
      <c r="H4" s="620"/>
      <c r="I4" s="620"/>
      <c r="J4" s="620"/>
      <c r="K4" s="620"/>
    </row>
    <row r="5" spans="1:21" ht="26.25" customHeight="1" x14ac:dyDescent="0.2">
      <c r="A5" s="517" t="s">
        <v>752</v>
      </c>
      <c r="B5" s="621" t="s">
        <v>754</v>
      </c>
      <c r="C5" s="621"/>
      <c r="D5" s="621"/>
      <c r="E5" s="621"/>
      <c r="F5" s="621"/>
      <c r="G5" s="621"/>
      <c r="H5" s="621"/>
      <c r="I5" s="621"/>
      <c r="J5" s="621"/>
      <c r="K5" s="621"/>
    </row>
    <row r="6" spans="1:21" ht="53.45" customHeight="1" x14ac:dyDescent="0.2">
      <c r="A6" s="120">
        <v>3</v>
      </c>
      <c r="B6" s="620" t="s">
        <v>780</v>
      </c>
      <c r="C6" s="620"/>
      <c r="D6" s="620"/>
      <c r="E6" s="620"/>
      <c r="F6" s="620"/>
      <c r="G6" s="620"/>
      <c r="H6" s="620"/>
      <c r="I6" s="620"/>
      <c r="J6" s="620"/>
      <c r="K6" s="620"/>
    </row>
    <row r="7" spans="1:21" ht="26.25" customHeight="1" x14ac:dyDescent="0.2">
      <c r="A7" s="517" t="s">
        <v>752</v>
      </c>
      <c r="B7" s="621" t="s">
        <v>198</v>
      </c>
      <c r="C7" s="621"/>
      <c r="D7" s="621"/>
      <c r="E7" s="621"/>
      <c r="F7" s="621"/>
      <c r="G7" s="621"/>
      <c r="H7" s="621"/>
      <c r="I7" s="621"/>
      <c r="J7" s="621"/>
      <c r="K7" s="621"/>
    </row>
    <row r="8" spans="1:21" ht="68.45" customHeight="1" x14ac:dyDescent="0.2">
      <c r="A8" s="123">
        <v>4</v>
      </c>
      <c r="B8" s="628" t="s">
        <v>755</v>
      </c>
      <c r="C8" s="629"/>
      <c r="D8" s="629"/>
      <c r="E8" s="629"/>
      <c r="F8" s="629"/>
      <c r="G8" s="629"/>
      <c r="H8" s="629"/>
      <c r="I8" s="629"/>
      <c r="J8" s="629"/>
      <c r="K8" s="629"/>
    </row>
    <row r="9" spans="1:21" ht="26.25" customHeight="1" x14ac:dyDescent="0.2">
      <c r="A9" s="517" t="s">
        <v>752</v>
      </c>
      <c r="B9" s="627" t="s">
        <v>756</v>
      </c>
      <c r="C9" s="627"/>
      <c r="D9" s="627"/>
      <c r="E9" s="627"/>
      <c r="F9" s="627"/>
      <c r="G9" s="627"/>
      <c r="H9" s="627"/>
      <c r="I9" s="627"/>
      <c r="J9" s="627"/>
      <c r="K9" s="627"/>
    </row>
    <row r="10" spans="1:21" ht="26.25" customHeight="1" x14ac:dyDescent="0.2">
      <c r="A10" s="120">
        <v>5</v>
      </c>
      <c r="B10" s="625" t="s">
        <v>659</v>
      </c>
      <c r="C10" s="625"/>
      <c r="D10" s="625"/>
      <c r="E10" s="625"/>
      <c r="F10" s="625"/>
      <c r="G10" s="625"/>
      <c r="H10" s="625"/>
      <c r="I10" s="625"/>
      <c r="J10" s="625"/>
      <c r="K10" s="625"/>
    </row>
    <row r="11" spans="1:21" ht="37.5" customHeight="1" x14ac:dyDescent="0.2">
      <c r="A11" s="120">
        <v>6</v>
      </c>
      <c r="B11" s="625" t="s">
        <v>89</v>
      </c>
      <c r="C11" s="625"/>
      <c r="D11" s="625"/>
      <c r="E11" s="625"/>
      <c r="F11" s="625"/>
      <c r="G11" s="625"/>
      <c r="H11" s="625"/>
      <c r="I11" s="625"/>
      <c r="J11" s="625"/>
      <c r="K11" s="625"/>
    </row>
    <row r="12" spans="1:21" ht="52.5" customHeight="1" x14ac:dyDescent="0.2">
      <c r="A12" s="120">
        <v>7</v>
      </c>
      <c r="B12" s="620" t="s">
        <v>236</v>
      </c>
      <c r="C12" s="620"/>
      <c r="D12" s="620"/>
      <c r="E12" s="620"/>
      <c r="F12" s="620"/>
      <c r="G12" s="620"/>
      <c r="H12" s="620"/>
      <c r="I12" s="620"/>
      <c r="J12" s="620"/>
      <c r="K12" s="620"/>
    </row>
    <row r="13" spans="1:21" ht="26.25" customHeight="1" x14ac:dyDescent="0.2">
      <c r="A13" s="517" t="s">
        <v>752</v>
      </c>
      <c r="B13" s="621" t="s">
        <v>235</v>
      </c>
      <c r="C13" s="621"/>
      <c r="D13" s="621"/>
      <c r="E13" s="621"/>
      <c r="F13" s="621"/>
      <c r="G13" s="621"/>
      <c r="H13" s="621"/>
      <c r="I13" s="621"/>
      <c r="J13" s="621"/>
      <c r="K13" s="621"/>
    </row>
    <row r="14" spans="1:21" ht="30" customHeight="1" x14ac:dyDescent="0.2">
      <c r="A14" s="120">
        <v>8</v>
      </c>
      <c r="B14" s="626" t="s">
        <v>60</v>
      </c>
      <c r="C14" s="625"/>
      <c r="D14" s="625"/>
      <c r="E14" s="625"/>
      <c r="F14" s="625"/>
      <c r="G14" s="625"/>
      <c r="H14" s="625"/>
      <c r="I14" s="625"/>
      <c r="J14" s="625"/>
      <c r="K14" s="625"/>
    </row>
    <row r="15" spans="1:21" ht="25.5" customHeight="1" x14ac:dyDescent="0.2">
      <c r="A15" s="518" t="s">
        <v>752</v>
      </c>
      <c r="B15" s="623" t="s">
        <v>61</v>
      </c>
      <c r="C15" s="623"/>
      <c r="D15" s="623"/>
      <c r="E15" s="623"/>
      <c r="F15" s="623"/>
      <c r="G15" s="623"/>
      <c r="H15" s="623"/>
      <c r="I15" s="623"/>
      <c r="J15" s="623"/>
      <c r="K15" s="623"/>
    </row>
    <row r="16" spans="1:21" ht="52.5" customHeight="1" x14ac:dyDescent="0.2">
      <c r="A16" s="622" t="s">
        <v>757</v>
      </c>
      <c r="B16" s="622"/>
      <c r="C16" s="622"/>
      <c r="D16" s="622"/>
      <c r="E16" s="622"/>
      <c r="F16" s="622"/>
      <c r="G16" s="622"/>
      <c r="H16" s="622"/>
      <c r="I16" s="622"/>
      <c r="J16" s="622"/>
      <c r="K16" s="622"/>
    </row>
    <row r="17" spans="1:11" hidden="1" x14ac:dyDescent="0.2">
      <c r="A17" s="121"/>
      <c r="B17" s="122"/>
      <c r="C17" s="122"/>
      <c r="D17" s="122"/>
      <c r="E17" s="122"/>
      <c r="F17" s="122"/>
      <c r="G17" s="122"/>
      <c r="H17" s="122"/>
      <c r="I17" s="122"/>
      <c r="J17" s="122"/>
      <c r="K17" s="122"/>
    </row>
    <row r="18" spans="1:11" hidden="1" x14ac:dyDescent="0.2">
      <c r="A18" s="121"/>
      <c r="B18" s="122"/>
      <c r="C18" s="122"/>
      <c r="D18" s="122"/>
      <c r="E18" s="122"/>
      <c r="F18" s="122"/>
      <c r="G18" s="122"/>
      <c r="H18" s="122"/>
      <c r="I18" s="122"/>
      <c r="J18" s="122"/>
      <c r="K18" s="122"/>
    </row>
    <row r="19" spans="1:11" hidden="1" x14ac:dyDescent="0.2">
      <c r="A19" s="121"/>
      <c r="B19" s="122"/>
      <c r="C19" s="122"/>
      <c r="D19" s="122"/>
      <c r="E19" s="122"/>
      <c r="F19" s="122"/>
      <c r="G19" s="122"/>
      <c r="H19" s="122"/>
      <c r="I19" s="122"/>
      <c r="J19" s="122"/>
      <c r="K19" s="122"/>
    </row>
    <row r="20" spans="1:11" hidden="1" x14ac:dyDescent="0.2">
      <c r="A20" s="121"/>
      <c r="B20" s="122"/>
      <c r="C20" s="122"/>
      <c r="D20" s="122"/>
      <c r="E20" s="122"/>
      <c r="F20" s="122"/>
      <c r="G20" s="122"/>
      <c r="H20" s="122"/>
      <c r="I20" s="122"/>
      <c r="J20" s="122"/>
      <c r="K20" s="122"/>
    </row>
    <row r="21" spans="1:11" hidden="1" x14ac:dyDescent="0.2">
      <c r="A21" s="121"/>
      <c r="B21" s="122"/>
      <c r="C21" s="122"/>
      <c r="D21" s="122"/>
      <c r="E21" s="122"/>
      <c r="F21" s="122"/>
      <c r="G21" s="122"/>
      <c r="H21" s="122"/>
      <c r="I21" s="122"/>
      <c r="J21" s="122"/>
      <c r="K21" s="122"/>
    </row>
    <row r="22" spans="1:11" hidden="1" x14ac:dyDescent="0.2">
      <c r="A22" s="121"/>
      <c r="B22" s="122"/>
      <c r="C22" s="122"/>
      <c r="D22" s="122"/>
      <c r="E22" s="122"/>
      <c r="F22" s="122"/>
      <c r="G22" s="122"/>
      <c r="H22" s="122"/>
      <c r="I22" s="122"/>
      <c r="J22" s="122"/>
      <c r="K22" s="122"/>
    </row>
    <row r="1048568" spans="1:1" hidden="1" x14ac:dyDescent="0.2">
      <c r="A1048568" s="121"/>
    </row>
  </sheetData>
  <mergeCells count="17">
    <mergeCell ref="L2:U2"/>
    <mergeCell ref="B10:K10"/>
    <mergeCell ref="B11:K11"/>
    <mergeCell ref="B12:K12"/>
    <mergeCell ref="B14:K14"/>
    <mergeCell ref="B6:K6"/>
    <mergeCell ref="B3:K3"/>
    <mergeCell ref="B5:K5"/>
    <mergeCell ref="B9:K9"/>
    <mergeCell ref="B8:K8"/>
    <mergeCell ref="A1:K1"/>
    <mergeCell ref="B2:K2"/>
    <mergeCell ref="B4:K4"/>
    <mergeCell ref="B7:K7"/>
    <mergeCell ref="A16:K16"/>
    <mergeCell ref="B15:K15"/>
    <mergeCell ref="B13:K13"/>
  </mergeCells>
  <phoneticPr fontId="0" type="noConversion"/>
  <hyperlinks>
    <hyperlink ref="B15" location="start" display="start" xr:uid="{00000000-0004-0000-0300-000000000000}"/>
    <hyperlink ref="B3" r:id="rId1" xr:uid="{00000000-0004-0000-0300-000001000000}"/>
    <hyperlink ref="B5:D5" r:id="rId2" display="Minnesota Statutes, section 144.565" xr:uid="{00000000-0004-0000-0300-000002000000}"/>
    <hyperlink ref="B7:E7" r:id="rId3" display="Minnesota Statutes, section 62J.17" xr:uid="{00000000-0004-0000-0300-000003000000}"/>
    <hyperlink ref="B13:E13" location="def_prov_di" display="Definition: Diagnostic Imaging Facility" xr:uid="{00000000-0004-0000-0300-000004000000}"/>
    <hyperlink ref="B9:D9" r:id="rId4" location="stat.144.1225" display="Minnesota Statutes, section 144.1225" xr:uid="{00000000-0004-0000-0300-000005000000}"/>
    <hyperlink ref="B5:K5" r:id="rId5" display="Minnesota Statutes 144.565" xr:uid="{B5416BE3-16B8-452E-9CEE-06F40ADFC9CC}"/>
    <hyperlink ref="B9:K9" r:id="rId6" location="stat.144.1225" display="Minnesota Statutes 144.1225" xr:uid="{057492B3-1D61-446B-82B6-F31E7688A4AB}"/>
  </hyperlinks>
  <printOptions horizontalCentered="1"/>
  <pageMargins left="0.75" right="0.75" top="1" bottom="1" header="0.5" footer="0.5"/>
  <pageSetup scale="51" fitToHeight="2" orientation="portrait" r:id="rId7"/>
  <headerFooter alignWithMargins="0">
    <oddFooter>&amp;L&amp;"Calibri,Regular"Diagnostic Imaging Facility Utilization Report
Fiscal Year 2024
&amp;C&amp;"Calibri,Regular"&amp;P of &amp;N&amp;R&amp;"Calibri,Regular"Minnesota Department of Health
Phone 651-201-3572
health.hccis@state.mn.us</oddFooter>
  </headerFooter>
  <drawing r:id="rId8"/>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indexed="45"/>
  </sheetPr>
  <dimension ref="A1:AE74"/>
  <sheetViews>
    <sheetView showGridLines="0" zoomScaleNormal="100" zoomScaleSheetLayoutView="50" workbookViewId="0">
      <selection sqref="A1:K1"/>
    </sheetView>
  </sheetViews>
  <sheetFormatPr defaultColWidth="0" defaultRowHeight="12.75" zeroHeight="1" x14ac:dyDescent="0.2"/>
  <cols>
    <col min="1" max="13" width="9.140625" style="126" customWidth="1"/>
    <col min="14" max="14" width="10.42578125" style="126" customWidth="1"/>
    <col min="15" max="15" width="9.140625" style="126" customWidth="1"/>
    <col min="16" max="23" width="9.140625" style="126" hidden="1" customWidth="1"/>
    <col min="24" max="31" width="0" style="126" hidden="1" customWidth="1"/>
    <col min="32" max="16384" width="9.140625" style="126" hidden="1"/>
  </cols>
  <sheetData>
    <row r="1" spans="1:23" ht="24.75" customHeight="1" x14ac:dyDescent="0.2">
      <c r="A1" s="708" t="s">
        <v>39</v>
      </c>
      <c r="B1" s="708"/>
      <c r="C1" s="708"/>
      <c r="D1" s="708"/>
      <c r="E1" s="708"/>
      <c r="F1" s="708"/>
      <c r="G1" s="708"/>
      <c r="H1" s="708"/>
      <c r="I1" s="708"/>
      <c r="J1" s="708"/>
      <c r="K1" s="708"/>
      <c r="L1" s="805">
        <v>2024</v>
      </c>
      <c r="M1" s="805"/>
      <c r="N1" s="805"/>
      <c r="O1" s="805"/>
      <c r="R1" s="128" t="s">
        <v>365</v>
      </c>
      <c r="S1" s="128"/>
      <c r="T1" s="128"/>
      <c r="U1" s="128"/>
      <c r="V1" s="128"/>
      <c r="W1" s="128"/>
    </row>
    <row r="2" spans="1:23" ht="19.5" customHeight="1" thickBot="1" x14ac:dyDescent="0.4">
      <c r="A2" s="709" t="str">
        <f>CONCATENATE("Utilization Report ",L1)</f>
        <v>Utilization Report 2024</v>
      </c>
      <c r="B2" s="710"/>
      <c r="C2" s="710"/>
      <c r="D2" s="710"/>
      <c r="E2" s="710"/>
      <c r="F2" s="710"/>
      <c r="G2" s="710"/>
      <c r="H2" s="710"/>
      <c r="I2" s="710"/>
      <c r="J2" s="710"/>
      <c r="K2" s="710"/>
      <c r="L2" s="683" t="s">
        <v>752</v>
      </c>
      <c r="M2" s="683"/>
      <c r="N2" s="683"/>
      <c r="O2" s="683"/>
      <c r="R2" s="128"/>
      <c r="S2" s="128"/>
      <c r="T2" s="128"/>
      <c r="U2" s="129"/>
      <c r="V2" s="129"/>
      <c r="W2" s="129"/>
    </row>
    <row r="3" spans="1:23" ht="30" customHeight="1" x14ac:dyDescent="0.2">
      <c r="A3" s="711" t="s">
        <v>719</v>
      </c>
      <c r="B3" s="712"/>
      <c r="C3" s="712"/>
      <c r="D3" s="712"/>
      <c r="E3" s="712"/>
      <c r="F3" s="712"/>
      <c r="G3" s="712"/>
      <c r="H3" s="712"/>
      <c r="I3" s="712"/>
      <c r="J3" s="712"/>
      <c r="K3" s="713"/>
      <c r="L3" s="668" t="s">
        <v>752</v>
      </c>
      <c r="M3" s="683"/>
      <c r="N3" s="683"/>
      <c r="O3" s="683"/>
      <c r="R3" s="130"/>
      <c r="S3" s="130"/>
      <c r="T3" s="130"/>
      <c r="U3" s="129"/>
      <c r="V3" s="129"/>
      <c r="W3" s="129"/>
    </row>
    <row r="4" spans="1:23" ht="30" customHeight="1" x14ac:dyDescent="0.2">
      <c r="A4" s="718" t="s">
        <v>32</v>
      </c>
      <c r="B4" s="719"/>
      <c r="C4" s="719"/>
      <c r="D4" s="719"/>
      <c r="E4" s="719"/>
      <c r="F4" s="719"/>
      <c r="G4" s="719"/>
      <c r="H4" s="719"/>
      <c r="I4" s="719"/>
      <c r="J4" s="719"/>
      <c r="K4" s="720"/>
      <c r="L4" s="668" t="s">
        <v>752</v>
      </c>
      <c r="M4" s="683"/>
      <c r="N4" s="683"/>
      <c r="O4" s="683"/>
      <c r="R4" s="130"/>
      <c r="S4" s="130"/>
      <c r="T4" s="130"/>
      <c r="U4" s="129"/>
      <c r="V4" s="129"/>
      <c r="W4" s="129"/>
    </row>
    <row r="5" spans="1:23" ht="36.75" customHeight="1" x14ac:dyDescent="0.2">
      <c r="A5" s="721" t="s">
        <v>775</v>
      </c>
      <c r="B5" s="722"/>
      <c r="C5" s="722"/>
      <c r="D5" s="163"/>
      <c r="E5" s="723" t="str">
        <f>IF(ISBLANK(D5),"This is the unique ID assigned to your facility for the HCCIS data collection.  Please click on the HCCIS ID link, select your ID from the list, and enter it here.","Please verify the information that we have on file for your facility.")</f>
        <v>This is the unique ID assigned to your facility for the HCCIS data collection.  Please click on the HCCIS ID link, select your ID from the list, and enter it here.</v>
      </c>
      <c r="F5" s="724"/>
      <c r="G5" s="724"/>
      <c r="H5" s="724"/>
      <c r="I5" s="724"/>
      <c r="J5" s="724"/>
      <c r="K5" s="725"/>
      <c r="L5" s="668" t="s">
        <v>752</v>
      </c>
      <c r="M5" s="683"/>
      <c r="N5" s="683"/>
      <c r="O5" s="683"/>
      <c r="R5" s="130"/>
      <c r="S5" s="130"/>
      <c r="T5" s="130"/>
      <c r="U5" s="129"/>
      <c r="V5" s="129"/>
      <c r="W5" s="129"/>
    </row>
    <row r="6" spans="1:23" ht="30" customHeight="1" x14ac:dyDescent="0.2">
      <c r="A6" s="714" t="s">
        <v>207</v>
      </c>
      <c r="B6" s="715"/>
      <c r="C6" s="716"/>
      <c r="D6" s="717" t="e">
        <f>VLOOKUP($D$5,ID_list,2,FALSE)</f>
        <v>#N/A</v>
      </c>
      <c r="E6" s="717"/>
      <c r="F6" s="717"/>
      <c r="G6" s="717"/>
      <c r="H6" s="573" t="s">
        <v>87</v>
      </c>
      <c r="I6" s="753" t="e">
        <f>VLOOKUP($D$5,ID_list,91,FALSE)</f>
        <v>#N/A</v>
      </c>
      <c r="J6" s="753"/>
      <c r="K6" s="754"/>
      <c r="L6" s="755" t="e">
        <f>IF(I6=0,"Please enter the NPI assigned by CMS for the Reporting Entity."," ")</f>
        <v>#N/A</v>
      </c>
      <c r="M6" s="756"/>
      <c r="N6" s="756"/>
      <c r="O6" s="757"/>
      <c r="R6" s="133"/>
      <c r="S6" s="134"/>
      <c r="T6" s="133"/>
      <c r="U6" s="129"/>
      <c r="V6" s="133"/>
      <c r="W6" s="129"/>
    </row>
    <row r="7" spans="1:23" ht="30" customHeight="1" x14ac:dyDescent="0.2">
      <c r="A7" s="752" t="s">
        <v>777</v>
      </c>
      <c r="B7" s="630" t="s">
        <v>127</v>
      </c>
      <c r="C7" s="631"/>
      <c r="D7" s="781" t="e">
        <f>CONCATENATE(VLOOKUP($D$5,ID_list,4,FALSE)," ",VLOOKUP($D$5,ID_list,5,FALSE))</f>
        <v>#N/A</v>
      </c>
      <c r="E7" s="781"/>
      <c r="F7" s="781"/>
      <c r="G7" s="781"/>
      <c r="H7" s="727" t="e">
        <f>CONCATENATE(VLOOKUP($D$5,ID_list,10,FALSE)," ",VLOOKUP($D$5,ID_list,11,FALSE))</f>
        <v>#N/A</v>
      </c>
      <c r="I7" s="728"/>
      <c r="J7" s="729"/>
      <c r="K7" s="726" t="s">
        <v>776</v>
      </c>
      <c r="L7" s="768" t="s">
        <v>126</v>
      </c>
      <c r="M7" s="769"/>
      <c r="N7" s="770"/>
      <c r="O7" s="127" t="s">
        <v>752</v>
      </c>
      <c r="R7" s="135" t="s">
        <v>301</v>
      </c>
      <c r="S7" s="136" t="e">
        <f>VLOOKUP($D$5,ID_list,92,FALSE)</f>
        <v>#N/A</v>
      </c>
      <c r="T7" s="133"/>
      <c r="U7" s="137"/>
      <c r="V7" s="133"/>
      <c r="W7" s="129"/>
    </row>
    <row r="8" spans="1:23" ht="30" customHeight="1" x14ac:dyDescent="0.2">
      <c r="A8" s="752"/>
      <c r="B8" s="630" t="s">
        <v>128</v>
      </c>
      <c r="C8" s="631"/>
      <c r="D8" s="736" t="e">
        <f>VLOOKUP($D$5,ID_list,3,FALSE)</f>
        <v>#N/A</v>
      </c>
      <c r="E8" s="736"/>
      <c r="F8" s="736"/>
      <c r="G8" s="736"/>
      <c r="H8" s="727" t="e">
        <f>VLOOKUP($D$5,ID_list,12,FALSE)</f>
        <v>#N/A</v>
      </c>
      <c r="I8" s="728"/>
      <c r="J8" s="729"/>
      <c r="K8" s="726"/>
      <c r="L8" s="771"/>
      <c r="M8" s="772"/>
      <c r="N8" s="773"/>
      <c r="O8" s="127" t="s">
        <v>752</v>
      </c>
      <c r="R8" s="133"/>
      <c r="S8" s="128"/>
      <c r="T8" s="133"/>
      <c r="U8" s="129"/>
      <c r="V8" s="133"/>
      <c r="W8" s="129"/>
    </row>
    <row r="9" spans="1:23" ht="30" customHeight="1" x14ac:dyDescent="0.2">
      <c r="A9" s="752"/>
      <c r="B9" s="630" t="s">
        <v>135</v>
      </c>
      <c r="C9" s="631"/>
      <c r="D9" s="736" t="e">
        <f>VLOOKUP($D$5,ID_list,6,FALSE)</f>
        <v>#N/A</v>
      </c>
      <c r="E9" s="736"/>
      <c r="F9" s="736"/>
      <c r="G9" s="736"/>
      <c r="H9" s="727" t="e">
        <f>VLOOKUP($D$5,ID_list,13,FALSE)</f>
        <v>#N/A</v>
      </c>
      <c r="I9" s="728"/>
      <c r="J9" s="729"/>
      <c r="K9" s="726"/>
      <c r="L9" s="771"/>
      <c r="M9" s="772"/>
      <c r="N9" s="773"/>
      <c r="O9" s="127" t="s">
        <v>752</v>
      </c>
      <c r="R9" s="133"/>
      <c r="S9" s="134"/>
      <c r="T9" s="133"/>
      <c r="U9" s="129"/>
      <c r="V9" s="138"/>
      <c r="W9" s="129"/>
    </row>
    <row r="10" spans="1:23" ht="30" customHeight="1" x14ac:dyDescent="0.2">
      <c r="A10" s="752"/>
      <c r="B10" s="630" t="s">
        <v>136</v>
      </c>
      <c r="C10" s="631"/>
      <c r="D10" s="765" t="e">
        <f>VLOOKUP($D$5,ID_list,7,FALSE)</f>
        <v>#N/A</v>
      </c>
      <c r="E10" s="766"/>
      <c r="F10" s="766"/>
      <c r="G10" s="767"/>
      <c r="H10" s="727" t="e">
        <f>VLOOKUP($D$5,ID_list,14,FALSE)</f>
        <v>#N/A</v>
      </c>
      <c r="I10" s="728"/>
      <c r="J10" s="729"/>
      <c r="K10" s="726"/>
      <c r="L10" s="771"/>
      <c r="M10" s="772"/>
      <c r="N10" s="773"/>
      <c r="O10" s="127" t="s">
        <v>752</v>
      </c>
      <c r="R10" s="133"/>
      <c r="S10" s="134"/>
      <c r="T10" s="133"/>
      <c r="U10" s="129"/>
      <c r="V10" s="129"/>
      <c r="W10" s="129"/>
    </row>
    <row r="11" spans="1:23" ht="30" customHeight="1" x14ac:dyDescent="0.2">
      <c r="A11" s="752"/>
      <c r="B11" s="630" t="s">
        <v>129</v>
      </c>
      <c r="C11" s="631"/>
      <c r="D11" s="736" t="e">
        <f>CONCATENATE(VLOOKUP($D$5,ID_list,8,FALSE),"-",VLOOKUP($D$5,ID_list,9,FALSE))</f>
        <v>#N/A</v>
      </c>
      <c r="E11" s="736"/>
      <c r="F11" s="736"/>
      <c r="G11" s="736"/>
      <c r="H11" s="727" t="e">
        <f>CONCATENATE(VLOOKUP($D$5,ID_list,15,FALSE),"-",VLOOKUP($D$5,ID_list,16,FALSE))</f>
        <v>#N/A</v>
      </c>
      <c r="I11" s="728"/>
      <c r="J11" s="729"/>
      <c r="K11" s="726"/>
      <c r="L11" s="774"/>
      <c r="M11" s="774"/>
      <c r="N11" s="775"/>
      <c r="O11" s="127" t="s">
        <v>752</v>
      </c>
      <c r="R11" s="133"/>
      <c r="S11" s="130"/>
      <c r="T11" s="133"/>
      <c r="U11" s="129"/>
      <c r="V11" s="129"/>
      <c r="W11" s="129"/>
    </row>
    <row r="12" spans="1:23" ht="30" customHeight="1" x14ac:dyDescent="0.2">
      <c r="A12" s="645" t="s">
        <v>130</v>
      </c>
      <c r="B12" s="630"/>
      <c r="C12" s="630"/>
      <c r="D12" s="745" t="e">
        <f>VLOOKUP($D$5,ID_list,17,FALSE)</f>
        <v>#N/A</v>
      </c>
      <c r="E12" s="745"/>
      <c r="F12" s="745"/>
      <c r="G12" s="745"/>
      <c r="H12" s="733" t="s">
        <v>59</v>
      </c>
      <c r="I12" s="734"/>
      <c r="J12" s="734"/>
      <c r="K12" s="735"/>
      <c r="L12" s="661" t="s">
        <v>752</v>
      </c>
      <c r="M12" s="662"/>
      <c r="N12" s="662"/>
      <c r="O12" s="662"/>
      <c r="R12" s="133"/>
      <c r="S12" s="130"/>
      <c r="T12" s="133"/>
      <c r="U12" s="129"/>
      <c r="V12" s="133"/>
      <c r="W12" s="129"/>
    </row>
    <row r="13" spans="1:23" ht="30" customHeight="1" x14ac:dyDescent="0.2">
      <c r="A13" s="645" t="s">
        <v>137</v>
      </c>
      <c r="B13" s="630"/>
      <c r="C13" s="630"/>
      <c r="D13" s="667" t="e">
        <f>VLOOKUP($D$5,ID_list,18,FALSE)</f>
        <v>#N/A</v>
      </c>
      <c r="E13" s="667"/>
      <c r="F13" s="667"/>
      <c r="G13" s="667"/>
      <c r="H13" s="776" t="str">
        <f>CONCATENATE(L1," Fiscal Year End Date")</f>
        <v>2024 Fiscal Year End Date</v>
      </c>
      <c r="I13" s="776"/>
      <c r="J13" s="746" t="e">
        <f>VLOOKUP($D$5,ID_list,97,FALSE)</f>
        <v>#N/A</v>
      </c>
      <c r="K13" s="747"/>
      <c r="L13" s="697" t="e">
        <f>IF(J13=0,"Please verify FY end date."," ")</f>
        <v>#N/A</v>
      </c>
      <c r="M13" s="698"/>
      <c r="N13" s="698"/>
      <c r="O13" s="698"/>
      <c r="R13" s="133"/>
      <c r="S13" s="130"/>
      <c r="T13" s="133"/>
      <c r="U13" s="129"/>
      <c r="V13" s="133"/>
      <c r="W13" s="129"/>
    </row>
    <row r="14" spans="1:23" ht="30" customHeight="1" x14ac:dyDescent="0.2">
      <c r="A14" s="645" t="s">
        <v>132</v>
      </c>
      <c r="B14" s="630"/>
      <c r="C14" s="630"/>
      <c r="D14" s="717" t="e">
        <f>CONCATENATE(VLOOKUP($D$5,ID_list,19,FALSE)," ",VLOOKUP($D$5,ID_list,20,FALSE))</f>
        <v>#N/A</v>
      </c>
      <c r="E14" s="717"/>
      <c r="F14" s="717"/>
      <c r="G14" s="717"/>
      <c r="H14" s="776" t="s">
        <v>58</v>
      </c>
      <c r="I14" s="777"/>
      <c r="J14" s="778" t="e">
        <f>VLOOKUP($D$5,ID_list,98,FALSE)</f>
        <v>#N/A</v>
      </c>
      <c r="K14" s="779"/>
      <c r="L14" s="698" t="e">
        <f>IF(J14=0,"Please verify the # of months the facility was open during the reporting year."," ")</f>
        <v>#N/A</v>
      </c>
      <c r="M14" s="780"/>
      <c r="N14" s="780"/>
      <c r="O14" s="780"/>
      <c r="R14" s="133"/>
      <c r="S14" s="142"/>
      <c r="T14" s="133"/>
      <c r="U14" s="142"/>
      <c r="V14" s="133"/>
      <c r="W14" s="129"/>
    </row>
    <row r="15" spans="1:23" ht="30" customHeight="1" x14ac:dyDescent="0.2">
      <c r="A15" s="645" t="s">
        <v>133</v>
      </c>
      <c r="B15" s="630"/>
      <c r="C15" s="630"/>
      <c r="D15" s="717" t="e">
        <f>VLOOKUP($D$5,ID_list,21,FALSE)</f>
        <v>#N/A</v>
      </c>
      <c r="E15" s="717"/>
      <c r="F15" s="717"/>
      <c r="G15" s="717"/>
      <c r="H15" s="748" t="str">
        <f>IF(NOT(ISBLANK('Capital Expenditures'!J5)),"CER System ID MDH reference only","")</f>
        <v/>
      </c>
      <c r="I15" s="749"/>
      <c r="J15" s="692" t="str">
        <f>IF(NOT(ISBLANK('Capital Expenditures'!J5)),VLOOKUP($D$5,ID_list,99,FALSE),"")</f>
        <v/>
      </c>
      <c r="K15" s="693"/>
      <c r="L15" s="689" t="s">
        <v>752</v>
      </c>
      <c r="M15" s="690"/>
      <c r="N15" s="690"/>
      <c r="O15" s="690"/>
      <c r="R15" s="133"/>
      <c r="S15" s="142"/>
      <c r="T15" s="133"/>
      <c r="U15" s="129"/>
      <c r="V15" s="133"/>
      <c r="W15" s="129"/>
    </row>
    <row r="16" spans="1:23" ht="30" customHeight="1" x14ac:dyDescent="0.2">
      <c r="A16" s="645" t="s">
        <v>263</v>
      </c>
      <c r="B16" s="630"/>
      <c r="C16" s="631"/>
      <c r="D16" s="750" t="e">
        <f>VLOOKUP($D$5,ID_list,22,FALSE)</f>
        <v>#N/A</v>
      </c>
      <c r="E16" s="717"/>
      <c r="F16" s="751"/>
      <c r="G16" s="751"/>
      <c r="H16" s="737" t="s">
        <v>752</v>
      </c>
      <c r="I16" s="738"/>
      <c r="J16" s="738"/>
      <c r="K16" s="739"/>
      <c r="L16" s="699" t="s">
        <v>752</v>
      </c>
      <c r="M16" s="700"/>
      <c r="N16" s="700"/>
      <c r="O16" s="700"/>
      <c r="R16" s="133"/>
      <c r="S16" s="142"/>
      <c r="T16" s="133"/>
      <c r="U16" s="129"/>
      <c r="V16" s="133"/>
      <c r="W16" s="129"/>
    </row>
    <row r="17" spans="1:31" ht="30" customHeight="1" x14ac:dyDescent="0.2">
      <c r="A17" s="645" t="s">
        <v>134</v>
      </c>
      <c r="B17" s="630"/>
      <c r="C17" s="630"/>
      <c r="D17" s="717" t="e">
        <f>VLOOKUP($D$5,ID_list,23,FALSE)</f>
        <v>#N/A</v>
      </c>
      <c r="E17" s="717"/>
      <c r="F17" s="717"/>
      <c r="G17" s="717"/>
      <c r="H17" s="740" t="s">
        <v>752</v>
      </c>
      <c r="I17" s="690"/>
      <c r="J17" s="690"/>
      <c r="K17" s="741"/>
      <c r="L17" s="701" t="s">
        <v>752</v>
      </c>
      <c r="M17" s="702"/>
      <c r="N17" s="702"/>
      <c r="O17" s="702"/>
      <c r="R17" s="133"/>
      <c r="S17" s="142"/>
      <c r="T17" s="133"/>
      <c r="U17" s="129"/>
      <c r="V17" s="133"/>
      <c r="W17" s="129"/>
    </row>
    <row r="18" spans="1:31" ht="30" customHeight="1" x14ac:dyDescent="0.2">
      <c r="A18" s="645" t="s">
        <v>33</v>
      </c>
      <c r="B18" s="630"/>
      <c r="C18" s="630"/>
      <c r="D18" s="686" t="e">
        <f>VLOOKUP($D$5,ID_list,84,FALSE)</f>
        <v>#N/A</v>
      </c>
      <c r="E18" s="687"/>
      <c r="F18" s="687"/>
      <c r="G18" s="688"/>
      <c r="H18" s="742" t="s">
        <v>752</v>
      </c>
      <c r="I18" s="743"/>
      <c r="J18" s="743"/>
      <c r="K18" s="744"/>
      <c r="L18" s="703" t="s">
        <v>752</v>
      </c>
      <c r="M18" s="704"/>
      <c r="N18" s="704"/>
      <c r="O18" s="704"/>
      <c r="R18" s="133"/>
      <c r="S18" s="142"/>
      <c r="T18" s="133"/>
      <c r="U18" s="129"/>
      <c r="V18" s="133"/>
      <c r="W18" s="129"/>
    </row>
    <row r="19" spans="1:31" s="141" customFormat="1" ht="30" customHeight="1" x14ac:dyDescent="0.2">
      <c r="A19" s="668" t="s">
        <v>752</v>
      </c>
      <c r="B19" s="669"/>
      <c r="C19" s="669"/>
      <c r="D19" s="676" t="s">
        <v>721</v>
      </c>
      <c r="E19" s="677"/>
      <c r="F19" s="677"/>
      <c r="G19" s="678"/>
      <c r="H19" s="730" t="s">
        <v>140</v>
      </c>
      <c r="I19" s="731"/>
      <c r="J19" s="731"/>
      <c r="K19" s="732"/>
      <c r="L19" s="673" t="s">
        <v>752</v>
      </c>
      <c r="M19" s="705"/>
      <c r="N19" s="705"/>
      <c r="O19" s="705"/>
      <c r="P19" s="155"/>
      <c r="Q19" s="156"/>
      <c r="R19" s="157"/>
      <c r="S19" s="158"/>
      <c r="T19" s="133"/>
      <c r="U19" s="129"/>
      <c r="V19" s="133"/>
      <c r="W19" s="129"/>
    </row>
    <row r="20" spans="1:31" s="141" customFormat="1" ht="30" customHeight="1" x14ac:dyDescent="0.2">
      <c r="A20" s="668" t="s">
        <v>752</v>
      </c>
      <c r="B20" s="669"/>
      <c r="C20" s="669"/>
      <c r="D20" s="679"/>
      <c r="E20" s="680"/>
      <c r="F20" s="680"/>
      <c r="G20" s="681"/>
      <c r="H20" s="159" t="s">
        <v>141</v>
      </c>
      <c r="I20" s="159" t="s">
        <v>142</v>
      </c>
      <c r="J20" s="159" t="s">
        <v>143</v>
      </c>
      <c r="K20" s="160" t="s">
        <v>56</v>
      </c>
      <c r="L20" s="706" t="s">
        <v>752</v>
      </c>
      <c r="M20" s="707"/>
      <c r="N20" s="707"/>
      <c r="O20" s="707"/>
      <c r="R20" s="133"/>
      <c r="S20" s="129"/>
      <c r="T20" s="133"/>
      <c r="U20" s="129"/>
      <c r="V20" s="133"/>
      <c r="W20" s="129"/>
    </row>
    <row r="21" spans="1:31" s="141" customFormat="1" ht="30" customHeight="1" x14ac:dyDescent="0.2">
      <c r="A21" s="668" t="s">
        <v>752</v>
      </c>
      <c r="B21" s="669"/>
      <c r="C21" s="669"/>
      <c r="D21" s="717" t="e">
        <f>VLOOKUP($D$5,ID_list,85,FALSE)</f>
        <v>#N/A</v>
      </c>
      <c r="E21" s="717"/>
      <c r="F21" s="717"/>
      <c r="G21" s="717"/>
      <c r="H21" s="163" t="e">
        <f>IF(EXACT(VLOOKUP($D$5,ID_list,86,FALSE),"Owned"),"X","")</f>
        <v>#N/A</v>
      </c>
      <c r="I21" s="163" t="e">
        <f>IF(EXACT(VLOOKUP($D$5,ID_list,86,FALSE),"Managed"),"X","")</f>
        <v>#N/A</v>
      </c>
      <c r="J21" s="163" t="e">
        <f>IF(EXACT(VLOOKUP($D$5,ID_list,86,FALSE),"Leased"),"X","")</f>
        <v>#N/A</v>
      </c>
      <c r="K21" s="164" t="e">
        <f>IF(EXACT(VLOOKUP($D$5,ID_list,86,FALSE),"N/A"),"X","")</f>
        <v>#N/A</v>
      </c>
      <c r="L21" s="673" t="s">
        <v>752</v>
      </c>
      <c r="M21" s="674"/>
      <c r="N21" s="674"/>
      <c r="O21" s="674"/>
      <c r="R21" s="166" t="e">
        <f>IF(LEN(T21)&gt;0,"Owned",IF(LEN(U21)&gt;0,"Managed",IF(LEN(V21)&gt;0,"Leased",IF(LEN(W21)&gt;0,"N/A",""))))</f>
        <v>#N/A</v>
      </c>
      <c r="S21" s="167" t="e">
        <f>R21</f>
        <v>#N/A</v>
      </c>
      <c r="T21" s="130" t="e">
        <f t="shared" ref="T21:V23" si="0">IF(OR(H21=0,ISBLANK(H21)),"",H21)</f>
        <v>#N/A</v>
      </c>
      <c r="U21" s="130" t="e">
        <f t="shared" si="0"/>
        <v>#N/A</v>
      </c>
      <c r="V21" s="130" t="e">
        <f t="shared" si="0"/>
        <v>#N/A</v>
      </c>
      <c r="W21" s="130" t="e">
        <f>IF(OR(K21=0,ISBLANK(K21)),"",K21)</f>
        <v>#N/A</v>
      </c>
    </row>
    <row r="22" spans="1:31" s="141" customFormat="1" ht="30" customHeight="1" x14ac:dyDescent="0.2">
      <c r="A22" s="668" t="s">
        <v>752</v>
      </c>
      <c r="B22" s="669"/>
      <c r="C22" s="669"/>
      <c r="D22" s="758" t="e">
        <f>VLOOKUP($D$5,ID_list,87,FALSE)</f>
        <v>#N/A</v>
      </c>
      <c r="E22" s="758"/>
      <c r="F22" s="758"/>
      <c r="G22" s="758"/>
      <c r="H22" s="163" t="e">
        <f>IF(EXACT(VLOOKUP($D$5,ID_list,88,FALSE),"Owned"),"X","")</f>
        <v>#N/A</v>
      </c>
      <c r="I22" s="163" t="e">
        <f>IF(EXACT(VLOOKUP($D$5,ID_list,88,FALSE),"Managed"),"X","")</f>
        <v>#N/A</v>
      </c>
      <c r="J22" s="163" t="e">
        <f>IF(EXACT(VLOOKUP($D$5,ID_list,88,FALSE),"Leased"),"X","")</f>
        <v>#N/A</v>
      </c>
      <c r="K22" s="168" t="e">
        <f>IF(EXACT(VLOOKUP($D$5,ID_list,88,FALSE),"N/A"),"X","")</f>
        <v>#N/A</v>
      </c>
      <c r="L22" s="673" t="s">
        <v>752</v>
      </c>
      <c r="M22" s="674"/>
      <c r="N22" s="674"/>
      <c r="O22" s="674"/>
      <c r="R22" s="166" t="e">
        <f>IF(LEN(T22)&gt;0,"Owned",IF(LEN(U22)&gt;0,"Managed",IF(LEN(V22)&gt;0,"Leased",IF(LEN(W22)&gt;0,"N/A",""))))</f>
        <v>#N/A</v>
      </c>
      <c r="S22" s="167" t="e">
        <f>R22</f>
        <v>#N/A</v>
      </c>
      <c r="T22" s="130" t="e">
        <f t="shared" si="0"/>
        <v>#N/A</v>
      </c>
      <c r="U22" s="130" t="e">
        <f t="shared" si="0"/>
        <v>#N/A</v>
      </c>
      <c r="V22" s="130" t="e">
        <f t="shared" si="0"/>
        <v>#N/A</v>
      </c>
      <c r="W22" s="130" t="e">
        <f>IF(OR(K22=0,ISBLANK(K22)),"",K22)</f>
        <v>#N/A</v>
      </c>
    </row>
    <row r="23" spans="1:31" s="141" customFormat="1" ht="30" customHeight="1" thickBot="1" x14ac:dyDescent="0.25">
      <c r="A23" s="694" t="s">
        <v>752</v>
      </c>
      <c r="B23" s="695"/>
      <c r="C23" s="695"/>
      <c r="D23" s="696" t="e">
        <f>VLOOKUP($D$5,ID_list,89,FALSE)</f>
        <v>#N/A</v>
      </c>
      <c r="E23" s="696"/>
      <c r="F23" s="696"/>
      <c r="G23" s="696"/>
      <c r="H23" s="169" t="e">
        <f>IF(EXACT(VLOOKUP($D$5,ID_list,90,FALSE),"Owned"),"X","")</f>
        <v>#N/A</v>
      </c>
      <c r="I23" s="169" t="e">
        <f>IF(EXACT(VLOOKUP($D$5,ID_list,90,FALSE),"Managed"),"X","")</f>
        <v>#N/A</v>
      </c>
      <c r="J23" s="169" t="e">
        <f>IF(EXACT(VLOOKUP($D$5,ID_list,90,FALSE),"Leased"),"X","")</f>
        <v>#N/A</v>
      </c>
      <c r="K23" s="170" t="e">
        <f>IF(EXACT(VLOOKUP($D$5,ID_list,90,FALSE),"N/A"),"X","")</f>
        <v>#N/A</v>
      </c>
      <c r="L23" s="673" t="s">
        <v>752</v>
      </c>
      <c r="M23" s="674"/>
      <c r="N23" s="674"/>
      <c r="O23" s="674"/>
      <c r="R23" s="166" t="e">
        <f>IF(LEN(T23)&gt;0,"Owned",IF(LEN(U23)&gt;0,"Managed",IF(LEN(V23)&gt;0,"Leased",IF(LEN(W23)&gt;0,"N/A",""))))</f>
        <v>#N/A</v>
      </c>
      <c r="S23" s="167" t="e">
        <f>R23</f>
        <v>#N/A</v>
      </c>
      <c r="T23" s="130" t="e">
        <f t="shared" si="0"/>
        <v>#N/A</v>
      </c>
      <c r="U23" s="130" t="e">
        <f t="shared" si="0"/>
        <v>#N/A</v>
      </c>
      <c r="V23" s="130" t="e">
        <f t="shared" si="0"/>
        <v>#N/A</v>
      </c>
      <c r="W23" s="130" t="e">
        <f>IF(OR(K23=0,ISBLANK(K23)),"",K23)</f>
        <v>#N/A</v>
      </c>
    </row>
    <row r="24" spans="1:31" ht="30" customHeight="1" thickBot="1" x14ac:dyDescent="0.25">
      <c r="A24" s="670" t="s">
        <v>774</v>
      </c>
      <c r="B24" s="671"/>
      <c r="C24" s="671"/>
      <c r="D24" s="671"/>
      <c r="E24" s="671"/>
      <c r="F24" s="671"/>
      <c r="G24" s="671"/>
      <c r="H24" s="682" t="str">
        <f>IF(COUNTBLANK(H21:K21)=4,"Please enter Type of Affiliation.",IF(COUNTBLANK(H21:K21)&lt;&gt;3,"Please VERIFY Type of Affiliation.",""))</f>
        <v>Please VERIFY Type of Affiliation.</v>
      </c>
      <c r="I24" s="682"/>
      <c r="J24" s="682"/>
      <c r="K24" s="682"/>
      <c r="L24" s="691" t="s">
        <v>752</v>
      </c>
      <c r="M24" s="691"/>
      <c r="N24" s="691"/>
      <c r="O24" s="691"/>
      <c r="R24" s="133"/>
      <c r="S24" s="129"/>
      <c r="T24" s="133"/>
      <c r="U24" s="129"/>
      <c r="V24" s="133"/>
      <c r="W24" s="129"/>
    </row>
    <row r="25" spans="1:31" ht="30" customHeight="1" x14ac:dyDescent="0.2">
      <c r="A25" s="711" t="s">
        <v>720</v>
      </c>
      <c r="B25" s="787"/>
      <c r="C25" s="787"/>
      <c r="D25" s="787"/>
      <c r="E25" s="787"/>
      <c r="F25" s="787"/>
      <c r="G25" s="787"/>
      <c r="H25" s="787"/>
      <c r="I25" s="787"/>
      <c r="J25" s="787"/>
      <c r="K25" s="788"/>
      <c r="L25" s="668" t="s">
        <v>752</v>
      </c>
      <c r="M25" s="683"/>
      <c r="N25" s="683"/>
      <c r="O25" s="683"/>
      <c r="R25" s="133"/>
      <c r="S25" s="128"/>
      <c r="T25" s="133"/>
      <c r="U25" s="129"/>
      <c r="V25" s="133"/>
      <c r="W25" s="453"/>
      <c r="X25" s="452"/>
      <c r="Y25" s="452"/>
      <c r="Z25" s="452"/>
      <c r="AA25" s="452"/>
      <c r="AB25" s="452"/>
      <c r="AC25" s="452"/>
      <c r="AD25" s="452"/>
      <c r="AE25" s="452"/>
    </row>
    <row r="26" spans="1:31" s="173" customFormat="1" ht="30" customHeight="1" x14ac:dyDescent="0.2">
      <c r="A26" s="654" t="s">
        <v>717</v>
      </c>
      <c r="B26" s="655"/>
      <c r="C26" s="655"/>
      <c r="D26" s="655"/>
      <c r="E26" s="655"/>
      <c r="F26" s="655"/>
      <c r="G26" s="655"/>
      <c r="H26" s="655"/>
      <c r="I26" s="655"/>
      <c r="J26" s="655"/>
      <c r="K26" s="656"/>
      <c r="L26" s="818" t="s">
        <v>752</v>
      </c>
      <c r="M26" s="819"/>
      <c r="N26" s="819"/>
      <c r="O26" s="819"/>
      <c r="R26" s="157"/>
      <c r="S26" s="128"/>
      <c r="T26" s="133"/>
      <c r="U26" s="129"/>
      <c r="V26" s="133"/>
      <c r="W26" s="453"/>
      <c r="X26" s="452"/>
      <c r="Y26" s="452"/>
      <c r="Z26" s="452"/>
      <c r="AA26" s="452"/>
      <c r="AB26" s="452"/>
      <c r="AC26" s="452"/>
      <c r="AD26" s="452"/>
      <c r="AE26" s="452"/>
    </row>
    <row r="27" spans="1:31" s="173" customFormat="1" ht="30" customHeight="1" x14ac:dyDescent="0.2">
      <c r="A27" s="657"/>
      <c r="B27" s="658"/>
      <c r="C27" s="658"/>
      <c r="D27" s="658"/>
      <c r="E27" s="658"/>
      <c r="F27" s="658"/>
      <c r="G27" s="658"/>
      <c r="H27" s="658"/>
      <c r="I27" s="658"/>
      <c r="J27" s="658"/>
      <c r="K27" s="659"/>
      <c r="L27" s="818"/>
      <c r="M27" s="819"/>
      <c r="N27" s="819"/>
      <c r="O27" s="819"/>
      <c r="R27" s="133"/>
      <c r="S27" s="128"/>
      <c r="T27" s="133"/>
      <c r="U27" s="129"/>
      <c r="V27" s="133"/>
      <c r="W27" s="129"/>
    </row>
    <row r="28" spans="1:31" s="173" customFormat="1" ht="30" customHeight="1" x14ac:dyDescent="0.2">
      <c r="A28" s="782" t="s">
        <v>145</v>
      </c>
      <c r="B28" s="783"/>
      <c r="C28" s="792"/>
      <c r="D28" s="793"/>
      <c r="E28" s="793"/>
      <c r="F28" s="793"/>
      <c r="G28" s="793"/>
      <c r="H28" s="794"/>
      <c r="I28" s="570" t="s">
        <v>146</v>
      </c>
      <c r="J28" s="795"/>
      <c r="K28" s="796"/>
      <c r="L28" s="818" t="s">
        <v>752</v>
      </c>
      <c r="M28" s="819"/>
      <c r="N28" s="819"/>
      <c r="O28" s="819"/>
      <c r="R28" s="133"/>
      <c r="S28" s="128"/>
      <c r="T28" s="133"/>
      <c r="U28" s="129"/>
      <c r="V28" s="133"/>
      <c r="W28" s="129"/>
    </row>
    <row r="29" spans="1:31" ht="30" customHeight="1" thickBot="1" x14ac:dyDescent="0.25">
      <c r="A29" s="785" t="s">
        <v>147</v>
      </c>
      <c r="B29" s="786"/>
      <c r="C29" s="789"/>
      <c r="D29" s="790"/>
      <c r="E29" s="790"/>
      <c r="F29" s="790"/>
      <c r="G29" s="790"/>
      <c r="H29" s="790"/>
      <c r="I29" s="790"/>
      <c r="J29" s="790"/>
      <c r="K29" s="791"/>
      <c r="L29" s="818" t="s">
        <v>752</v>
      </c>
      <c r="M29" s="819"/>
      <c r="N29" s="819"/>
      <c r="O29" s="819"/>
      <c r="R29" s="133"/>
      <c r="S29" s="128"/>
      <c r="T29" s="133"/>
      <c r="U29" s="129"/>
      <c r="V29" s="133"/>
      <c r="W29" s="129"/>
    </row>
    <row r="30" spans="1:31" ht="30" customHeight="1" x14ac:dyDescent="0.2">
      <c r="A30" s="784" t="str">
        <f>IF(OR('Capital Expend Project Specific'!AH14&gt;0,'Capital Expenditures'!R25="X",'Capital Expenditures'!T25="X"),"Warning! There is an error which will result in your report being rejected. Please review Capital Expenditure Reporting and correct any errors before submitting.","")</f>
        <v/>
      </c>
      <c r="B30" s="784"/>
      <c r="C30" s="784"/>
      <c r="D30" s="784"/>
      <c r="E30" s="784"/>
      <c r="F30" s="784"/>
      <c r="G30" s="784"/>
      <c r="H30" s="784"/>
      <c r="I30" s="784"/>
      <c r="J30" s="784"/>
      <c r="K30" s="784"/>
      <c r="L30" s="805" t="s">
        <v>752</v>
      </c>
      <c r="M30" s="805"/>
      <c r="N30" s="805"/>
      <c r="O30" s="805"/>
      <c r="R30" s="166" t="str">
        <f>IF(LEN(A30)&gt;0,"X","")</f>
        <v/>
      </c>
      <c r="S30" s="128"/>
      <c r="T30" s="133"/>
      <c r="U30" s="129"/>
      <c r="V30" s="133"/>
      <c r="W30" s="129"/>
    </row>
    <row r="31" spans="1:31" ht="30" customHeight="1" x14ac:dyDescent="0.2">
      <c r="A31" s="759" t="str">
        <f>IF(R30="X","Capital Expenditure Sections 13 and 14","")</f>
        <v/>
      </c>
      <c r="B31" s="759"/>
      <c r="C31" s="759"/>
      <c r="D31" s="759"/>
      <c r="E31" s="759"/>
      <c r="F31" s="759" t="str">
        <f>IF(R30="X","Capital Expenditure Project Specific Tab","")</f>
        <v/>
      </c>
      <c r="G31" s="759"/>
      <c r="H31" s="759"/>
      <c r="I31" s="759"/>
      <c r="J31" s="759"/>
      <c r="K31" s="759"/>
      <c r="L31" s="669" t="s">
        <v>752</v>
      </c>
      <c r="M31" s="669"/>
      <c r="N31" s="669"/>
      <c r="O31" s="669"/>
      <c r="R31" s="133"/>
      <c r="S31" s="128"/>
      <c r="T31" s="133"/>
      <c r="U31" s="129"/>
      <c r="V31" s="133"/>
      <c r="W31" s="129"/>
    </row>
    <row r="32" spans="1:31" s="180" customFormat="1" ht="24.95" customHeight="1" thickBot="1" x14ac:dyDescent="0.25">
      <c r="A32" s="672" t="e">
        <f>CONCATENATE(D$5," ",(UPPER(D$6)))</f>
        <v>#N/A</v>
      </c>
      <c r="B32" s="672"/>
      <c r="C32" s="672"/>
      <c r="D32" s="672"/>
      <c r="E32" s="672"/>
      <c r="F32" s="672"/>
      <c r="G32" s="672"/>
      <c r="H32" s="672"/>
      <c r="I32" s="672"/>
      <c r="J32" s="672"/>
      <c r="K32" s="672"/>
      <c r="L32" s="820" t="s">
        <v>752</v>
      </c>
      <c r="M32" s="820"/>
      <c r="N32" s="820"/>
      <c r="O32" s="820"/>
      <c r="R32" s="133"/>
      <c r="S32" s="128"/>
      <c r="T32" s="133"/>
      <c r="U32" s="129"/>
      <c r="V32" s="133"/>
      <c r="W32" s="129"/>
    </row>
    <row r="33" spans="1:23" s="180" customFormat="1" ht="30" customHeight="1" x14ac:dyDescent="0.2">
      <c r="A33" s="760" t="s">
        <v>256</v>
      </c>
      <c r="B33" s="761"/>
      <c r="C33" s="761"/>
      <c r="D33" s="761"/>
      <c r="E33" s="761"/>
      <c r="F33" s="761"/>
      <c r="G33" s="761"/>
      <c r="H33" s="761"/>
      <c r="I33" s="761"/>
      <c r="J33" s="761"/>
      <c r="K33" s="762"/>
      <c r="L33" s="652" t="s">
        <v>752</v>
      </c>
      <c r="M33" s="653"/>
      <c r="N33" s="653"/>
      <c r="O33" s="653"/>
      <c r="R33" s="133"/>
      <c r="S33" s="128"/>
      <c r="T33" s="133"/>
      <c r="U33" s="129"/>
      <c r="V33" s="133"/>
      <c r="W33" s="129"/>
    </row>
    <row r="34" spans="1:23" s="180" customFormat="1" ht="26.25" customHeight="1" x14ac:dyDescent="0.2">
      <c r="A34" s="634" t="s">
        <v>373</v>
      </c>
      <c r="B34" s="635"/>
      <c r="C34" s="635"/>
      <c r="D34" s="635"/>
      <c r="E34" s="635"/>
      <c r="F34" s="635"/>
      <c r="G34" s="635"/>
      <c r="H34" s="635"/>
      <c r="I34" s="635"/>
      <c r="J34" s="635"/>
      <c r="K34" s="636"/>
      <c r="L34" s="652" t="s">
        <v>752</v>
      </c>
      <c r="M34" s="653"/>
      <c r="N34" s="653"/>
      <c r="O34" s="653"/>
      <c r="R34" s="166" t="s">
        <v>302</v>
      </c>
      <c r="S34" s="181" t="e">
        <f>VLOOKUP($D$5,ID_list,93,FALSE)</f>
        <v>#N/A</v>
      </c>
      <c r="T34" s="133"/>
      <c r="U34" s="129"/>
      <c r="V34" s="133"/>
      <c r="W34" s="129"/>
    </row>
    <row r="35" spans="1:23" s="180" customFormat="1" ht="26.25" customHeight="1" x14ac:dyDescent="0.2">
      <c r="A35" s="637" t="s">
        <v>778</v>
      </c>
      <c r="B35" s="638"/>
      <c r="C35" s="639"/>
      <c r="D35" s="640" t="e">
        <f>CONCATENATE(VLOOKUP($D$5,ID_list,24,FALSE)," ",VLOOKUP($D$5,ID_list,25,FALSE))</f>
        <v>#N/A</v>
      </c>
      <c r="E35" s="640"/>
      <c r="F35" s="640"/>
      <c r="G35" s="640"/>
      <c r="H35" s="571" t="s">
        <v>138</v>
      </c>
      <c r="I35" s="640" t="e">
        <f>VLOOKUP($D$5,ID_list,26,FALSE)</f>
        <v>#N/A</v>
      </c>
      <c r="J35" s="663"/>
      <c r="K35" s="664"/>
      <c r="L35" s="675" t="e">
        <f>IF(OR(D35=0,D35=" "),"Please complete contact information for person completing the formset."," ")</f>
        <v>#N/A</v>
      </c>
      <c r="M35" s="589"/>
      <c r="N35" s="589"/>
      <c r="O35" s="589"/>
      <c r="R35" s="133"/>
      <c r="S35" s="128"/>
      <c r="T35" s="133"/>
      <c r="U35" s="129"/>
      <c r="V35" s="133"/>
      <c r="W35" s="129"/>
    </row>
    <row r="36" spans="1:23" s="180" customFormat="1" ht="26.25" customHeight="1" x14ac:dyDescent="0.2">
      <c r="A36" s="645" t="s">
        <v>258</v>
      </c>
      <c r="B36" s="630"/>
      <c r="C36" s="631"/>
      <c r="D36" s="650" t="e">
        <f>VLOOKUP($D$5,ID_list,27,FALSE)</f>
        <v>#N/A</v>
      </c>
      <c r="E36" s="650"/>
      <c r="F36" s="650"/>
      <c r="G36" s="650"/>
      <c r="H36" s="821" t="s">
        <v>752</v>
      </c>
      <c r="I36" s="822"/>
      <c r="J36" s="822"/>
      <c r="K36" s="823"/>
      <c r="L36" s="684" t="s">
        <v>105</v>
      </c>
      <c r="M36" s="685"/>
      <c r="N36" s="685"/>
      <c r="O36" s="685"/>
      <c r="R36" s="133"/>
      <c r="S36" s="128"/>
      <c r="T36" s="133"/>
      <c r="U36" s="129"/>
      <c r="V36" s="133"/>
      <c r="W36" s="129"/>
    </row>
    <row r="37" spans="1:23" s="180" customFormat="1" ht="26.25" customHeight="1" x14ac:dyDescent="0.2">
      <c r="A37" s="645" t="s">
        <v>127</v>
      </c>
      <c r="B37" s="630"/>
      <c r="C37" s="631"/>
      <c r="D37" s="640" t="e">
        <f>CONCATENATE(VLOOKUP($D$5,ID_list,32,FALSE)," ",VLOOKUP($D$5,ID_list,33,FALSE))</f>
        <v>#N/A</v>
      </c>
      <c r="E37" s="640"/>
      <c r="F37" s="640"/>
      <c r="G37" s="640"/>
      <c r="H37" s="570" t="s">
        <v>55</v>
      </c>
      <c r="I37" s="649" t="e">
        <f>VLOOKUP($D$5,ID_list,31,FALSE)</f>
        <v>#N/A</v>
      </c>
      <c r="J37" s="650"/>
      <c r="K37" s="651"/>
      <c r="L37" s="632" t="s">
        <v>102</v>
      </c>
      <c r="M37" s="633"/>
      <c r="N37" s="633"/>
      <c r="O37" s="633"/>
      <c r="R37" s="133"/>
      <c r="S37" s="128"/>
      <c r="T37" s="133"/>
      <c r="U37" s="129"/>
      <c r="V37" s="133"/>
      <c r="W37" s="129"/>
    </row>
    <row r="38" spans="1:23" s="180" customFormat="1" ht="26.25" customHeight="1" x14ac:dyDescent="0.2">
      <c r="A38" s="645" t="s">
        <v>128</v>
      </c>
      <c r="B38" s="630"/>
      <c r="C38" s="631"/>
      <c r="D38" s="650" t="e">
        <f>VLOOKUP($D$5,ID_list,34,FALSE)</f>
        <v>#N/A</v>
      </c>
      <c r="E38" s="650"/>
      <c r="F38" s="650"/>
      <c r="G38" s="650"/>
      <c r="H38" s="571" t="s">
        <v>139</v>
      </c>
      <c r="I38" s="801" t="e">
        <f>VLOOKUP($D$5,ID_list,28,FALSE)</f>
        <v>#N/A</v>
      </c>
      <c r="J38" s="802"/>
      <c r="K38" s="803"/>
      <c r="L38" s="632" t="s">
        <v>103</v>
      </c>
      <c r="M38" s="633"/>
      <c r="N38" s="633"/>
      <c r="O38" s="633"/>
      <c r="R38" s="133"/>
      <c r="S38" s="128"/>
      <c r="T38" s="133"/>
      <c r="U38" s="129"/>
      <c r="V38" s="133"/>
      <c r="W38" s="129"/>
    </row>
    <row r="39" spans="1:23" s="180" customFormat="1" ht="26.25" customHeight="1" x14ac:dyDescent="0.2">
      <c r="A39" s="645" t="s">
        <v>135</v>
      </c>
      <c r="B39" s="630"/>
      <c r="C39" s="631"/>
      <c r="D39" s="650" t="e">
        <f>VLOOKUP($D$5,ID_list,35,FALSE)</f>
        <v>#N/A</v>
      </c>
      <c r="E39" s="650"/>
      <c r="F39" s="650"/>
      <c r="G39" s="650"/>
      <c r="H39" s="570" t="s">
        <v>212</v>
      </c>
      <c r="I39" s="646" t="e">
        <f>VLOOKUP($D$5,ID_list,29,FALSE)</f>
        <v>#N/A</v>
      </c>
      <c r="J39" s="647"/>
      <c r="K39" s="648"/>
      <c r="L39" s="632" t="s">
        <v>104</v>
      </c>
      <c r="M39" s="633"/>
      <c r="N39" s="633"/>
      <c r="O39" s="633"/>
      <c r="R39" s="133"/>
      <c r="S39" s="128"/>
      <c r="T39" s="133"/>
      <c r="U39" s="129"/>
      <c r="V39" s="133"/>
      <c r="W39" s="129"/>
    </row>
    <row r="40" spans="1:23" s="180" customFormat="1" ht="26.25" customHeight="1" x14ac:dyDescent="0.2">
      <c r="A40" s="645" t="s">
        <v>136</v>
      </c>
      <c r="B40" s="630"/>
      <c r="C40" s="631"/>
      <c r="D40" s="644" t="e">
        <f>VLOOKUP($D$5,ID_list,36,FALSE)</f>
        <v>#N/A</v>
      </c>
      <c r="E40" s="644"/>
      <c r="F40" s="644"/>
      <c r="G40" s="644"/>
      <c r="H40" s="570" t="s">
        <v>131</v>
      </c>
      <c r="I40" s="646" t="e">
        <f>VLOOKUP($D$5,ID_list,30,FALSE)</f>
        <v>#N/A</v>
      </c>
      <c r="J40" s="647"/>
      <c r="K40" s="648"/>
      <c r="L40" s="661" t="s">
        <v>752</v>
      </c>
      <c r="M40" s="662"/>
      <c r="N40" s="662"/>
      <c r="O40" s="662"/>
      <c r="R40" s="133"/>
      <c r="S40" s="128"/>
      <c r="T40" s="133"/>
      <c r="U40" s="129"/>
      <c r="V40" s="133"/>
      <c r="W40" s="129"/>
    </row>
    <row r="41" spans="1:23" s="180" customFormat="1" ht="26.25" customHeight="1" x14ac:dyDescent="0.2">
      <c r="A41" s="641" t="s">
        <v>129</v>
      </c>
      <c r="B41" s="642"/>
      <c r="C41" s="643"/>
      <c r="D41" s="644" t="e">
        <f>CONCATENATE(VLOOKUP($D$5,ID_list,37,FALSE),"-",VLOOKUP($D$5,ID_list,38,FALSE))</f>
        <v>#N/A</v>
      </c>
      <c r="E41" s="644"/>
      <c r="F41" s="644"/>
      <c r="G41" s="644"/>
      <c r="H41" s="811" t="s">
        <v>752</v>
      </c>
      <c r="I41" s="812"/>
      <c r="J41" s="812"/>
      <c r="K41" s="813"/>
      <c r="L41" s="824" t="s">
        <v>752</v>
      </c>
      <c r="M41" s="825"/>
      <c r="N41" s="825"/>
      <c r="O41" s="825"/>
      <c r="R41" s="133"/>
      <c r="S41" s="128"/>
      <c r="T41" s="133"/>
      <c r="U41" s="129"/>
      <c r="V41" s="133"/>
      <c r="W41" s="129"/>
    </row>
    <row r="42" spans="1:23" s="180" customFormat="1" ht="26.25" customHeight="1" x14ac:dyDescent="0.2">
      <c r="A42" s="634" t="s">
        <v>374</v>
      </c>
      <c r="B42" s="635"/>
      <c r="C42" s="635"/>
      <c r="D42" s="635"/>
      <c r="E42" s="635"/>
      <c r="F42" s="635"/>
      <c r="G42" s="635"/>
      <c r="H42" s="635"/>
      <c r="I42" s="635"/>
      <c r="J42" s="635"/>
      <c r="K42" s="636"/>
      <c r="L42" s="652" t="s">
        <v>752</v>
      </c>
      <c r="M42" s="653"/>
      <c r="N42" s="653"/>
      <c r="O42" s="653"/>
      <c r="R42" s="166" t="s">
        <v>303</v>
      </c>
      <c r="S42" s="181" t="e">
        <f>VLOOKUP($D$5,ID_list,94,FALSE)</f>
        <v>#N/A</v>
      </c>
      <c r="T42" s="133"/>
      <c r="U42" s="129"/>
      <c r="V42" s="133"/>
      <c r="W42" s="129"/>
    </row>
    <row r="43" spans="1:23" s="180" customFormat="1" ht="26.25" customHeight="1" x14ac:dyDescent="0.2">
      <c r="A43" s="637" t="s">
        <v>260</v>
      </c>
      <c r="B43" s="638"/>
      <c r="C43" s="639"/>
      <c r="D43" s="640" t="e">
        <f>CONCATENATE(VLOOKUP($D$5,ID_list,39,FALSE)," ",VLOOKUP($D$5,ID_list,40,FALSE))</f>
        <v>#N/A</v>
      </c>
      <c r="E43" s="640"/>
      <c r="F43" s="640"/>
      <c r="G43" s="640"/>
      <c r="H43" s="571" t="s">
        <v>138</v>
      </c>
      <c r="I43" s="640" t="e">
        <f>VLOOKUP($D$5,ID_list,41,FALSE)</f>
        <v>#N/A</v>
      </c>
      <c r="J43" s="663"/>
      <c r="K43" s="664"/>
      <c r="L43" s="652" t="s">
        <v>752</v>
      </c>
      <c r="M43" s="653"/>
      <c r="N43" s="653"/>
      <c r="O43" s="653"/>
      <c r="R43" s="133"/>
      <c r="S43" s="128"/>
      <c r="T43" s="133"/>
      <c r="U43" s="129"/>
      <c r="V43" s="133"/>
      <c r="W43" s="129"/>
    </row>
    <row r="44" spans="1:23" s="180" customFormat="1" ht="26.25" customHeight="1" x14ac:dyDescent="0.2">
      <c r="A44" s="645" t="s">
        <v>258</v>
      </c>
      <c r="B44" s="630"/>
      <c r="C44" s="631"/>
      <c r="D44" s="640" t="e">
        <f>VLOOKUP($D$5,ID_list,42,FALSE)</f>
        <v>#N/A</v>
      </c>
      <c r="E44" s="640"/>
      <c r="F44" s="640"/>
      <c r="G44" s="640"/>
      <c r="H44" s="815" t="s">
        <v>752</v>
      </c>
      <c r="I44" s="816"/>
      <c r="J44" s="816"/>
      <c r="K44" s="817"/>
      <c r="L44" s="652" t="s">
        <v>752</v>
      </c>
      <c r="M44" s="653"/>
      <c r="N44" s="653"/>
      <c r="O44" s="653"/>
      <c r="R44" s="133"/>
      <c r="S44" s="128"/>
      <c r="T44" s="133"/>
      <c r="U44" s="129"/>
      <c r="V44" s="133"/>
      <c r="W44" s="129"/>
    </row>
    <row r="45" spans="1:23" s="180" customFormat="1" ht="26.25" customHeight="1" x14ac:dyDescent="0.2">
      <c r="A45" s="645" t="s">
        <v>127</v>
      </c>
      <c r="B45" s="630"/>
      <c r="C45" s="631"/>
      <c r="D45" s="640" t="e">
        <f>CONCATENATE(VLOOKUP($D$5,ID_list,47,FALSE)," ",VLOOKUP($D$5,ID_list,48,FALSE))</f>
        <v>#N/A</v>
      </c>
      <c r="E45" s="640"/>
      <c r="F45" s="640"/>
      <c r="G45" s="640"/>
      <c r="H45" s="572" t="s">
        <v>55</v>
      </c>
      <c r="I45" s="649" t="e">
        <f>VLOOKUP($D$5,ID_list,46,FALSE)</f>
        <v>#N/A</v>
      </c>
      <c r="J45" s="650"/>
      <c r="K45" s="651"/>
      <c r="L45" s="652" t="s">
        <v>752</v>
      </c>
      <c r="M45" s="653"/>
      <c r="N45" s="653"/>
      <c r="O45" s="653"/>
      <c r="R45" s="133"/>
      <c r="S45" s="128"/>
      <c r="T45" s="133"/>
      <c r="U45" s="129"/>
      <c r="V45" s="133"/>
      <c r="W45" s="129"/>
    </row>
    <row r="46" spans="1:23" s="180" customFormat="1" ht="26.25" customHeight="1" x14ac:dyDescent="0.2">
      <c r="A46" s="645" t="s">
        <v>261</v>
      </c>
      <c r="B46" s="630"/>
      <c r="C46" s="631"/>
      <c r="D46" s="650" t="e">
        <f>VLOOKUP($D$5,ID_list,49,FALSE)</f>
        <v>#N/A</v>
      </c>
      <c r="E46" s="650"/>
      <c r="F46" s="650"/>
      <c r="G46" s="650"/>
      <c r="H46" s="571" t="s">
        <v>139</v>
      </c>
      <c r="I46" s="801" t="e">
        <f>VLOOKUP($D$5,ID_list,43,FALSE)</f>
        <v>#N/A</v>
      </c>
      <c r="J46" s="802"/>
      <c r="K46" s="803"/>
      <c r="L46" s="652" t="s">
        <v>752</v>
      </c>
      <c r="M46" s="653"/>
      <c r="N46" s="653"/>
      <c r="O46" s="653"/>
      <c r="R46" s="133"/>
      <c r="S46" s="128"/>
      <c r="T46" s="133"/>
      <c r="U46" s="129"/>
      <c r="V46" s="133"/>
      <c r="W46" s="129"/>
    </row>
    <row r="47" spans="1:23" s="180" customFormat="1" ht="26.25" customHeight="1" x14ac:dyDescent="0.2">
      <c r="A47" s="645" t="s">
        <v>135</v>
      </c>
      <c r="B47" s="630"/>
      <c r="C47" s="631"/>
      <c r="D47" s="650" t="e">
        <f>VLOOKUP($D$5,ID_list,50,FALSE)</f>
        <v>#N/A</v>
      </c>
      <c r="E47" s="650"/>
      <c r="F47" s="650"/>
      <c r="G47" s="650"/>
      <c r="H47" s="572" t="s">
        <v>212</v>
      </c>
      <c r="I47" s="646" t="e">
        <f>VLOOKUP($D$5,ID_list,44,FALSE)</f>
        <v>#N/A</v>
      </c>
      <c r="J47" s="647"/>
      <c r="K47" s="648"/>
      <c r="L47" s="652" t="s">
        <v>752</v>
      </c>
      <c r="M47" s="653"/>
      <c r="N47" s="653"/>
      <c r="O47" s="653"/>
      <c r="R47" s="133"/>
      <c r="S47" s="128"/>
      <c r="T47" s="133"/>
      <c r="U47" s="129"/>
      <c r="V47" s="133"/>
      <c r="W47" s="129"/>
    </row>
    <row r="48" spans="1:23" s="180" customFormat="1" ht="26.25" customHeight="1" x14ac:dyDescent="0.2">
      <c r="A48" s="645" t="s">
        <v>136</v>
      </c>
      <c r="B48" s="630"/>
      <c r="C48" s="631"/>
      <c r="D48" s="650" t="e">
        <f>VLOOKUP($D$5,ID_list,51,FALSE)</f>
        <v>#N/A</v>
      </c>
      <c r="E48" s="650"/>
      <c r="F48" s="650"/>
      <c r="G48" s="650"/>
      <c r="H48" s="572" t="s">
        <v>131</v>
      </c>
      <c r="I48" s="646" t="e">
        <f>VLOOKUP($D$5,ID_list,45,FALSE)</f>
        <v>#N/A</v>
      </c>
      <c r="J48" s="647"/>
      <c r="K48" s="648"/>
      <c r="L48" s="652" t="s">
        <v>752</v>
      </c>
      <c r="M48" s="653"/>
      <c r="N48" s="653"/>
      <c r="O48" s="653"/>
      <c r="R48" s="133"/>
      <c r="S48" s="128"/>
      <c r="T48" s="133"/>
      <c r="U48" s="129"/>
      <c r="V48" s="133"/>
      <c r="W48" s="129"/>
    </row>
    <row r="49" spans="1:23" s="180" customFormat="1" ht="26.25" customHeight="1" x14ac:dyDescent="0.2">
      <c r="A49" s="641" t="s">
        <v>129</v>
      </c>
      <c r="B49" s="642"/>
      <c r="C49" s="643"/>
      <c r="D49" s="644" t="e">
        <f>CONCATENATE(VLOOKUP($D$5,ID_list,52,FALSE),"-",VLOOKUP($D$5,ID_list,53,FALSE))</f>
        <v>#N/A</v>
      </c>
      <c r="E49" s="644"/>
      <c r="F49" s="644"/>
      <c r="G49" s="644"/>
      <c r="H49" s="811" t="s">
        <v>752</v>
      </c>
      <c r="I49" s="812"/>
      <c r="J49" s="812"/>
      <c r="K49" s="813"/>
      <c r="L49" s="652" t="s">
        <v>752</v>
      </c>
      <c r="M49" s="653"/>
      <c r="N49" s="653"/>
      <c r="O49" s="653"/>
      <c r="R49" s="133"/>
      <c r="S49" s="128"/>
      <c r="T49" s="133"/>
      <c r="U49" s="129"/>
      <c r="V49" s="133"/>
      <c r="W49" s="129"/>
    </row>
    <row r="50" spans="1:23" s="180" customFormat="1" ht="26.25" customHeight="1" x14ac:dyDescent="0.2">
      <c r="A50" s="634" t="s">
        <v>375</v>
      </c>
      <c r="B50" s="635"/>
      <c r="C50" s="635"/>
      <c r="D50" s="635"/>
      <c r="E50" s="635"/>
      <c r="F50" s="635"/>
      <c r="G50" s="635"/>
      <c r="H50" s="635"/>
      <c r="I50" s="635"/>
      <c r="J50" s="635"/>
      <c r="K50" s="636"/>
      <c r="L50" s="652" t="s">
        <v>752</v>
      </c>
      <c r="M50" s="653"/>
      <c r="N50" s="653"/>
      <c r="O50" s="653"/>
      <c r="R50" s="166" t="s">
        <v>304</v>
      </c>
      <c r="S50" s="181" t="e">
        <f>VLOOKUP($D$5,ID_list,95,FALSE)</f>
        <v>#N/A</v>
      </c>
      <c r="T50" s="133"/>
      <c r="U50" s="129"/>
      <c r="V50" s="133"/>
      <c r="W50" s="129"/>
    </row>
    <row r="51" spans="1:23" s="180" customFormat="1" ht="26.25" customHeight="1" x14ac:dyDescent="0.2">
      <c r="A51" s="637" t="s">
        <v>260</v>
      </c>
      <c r="B51" s="638"/>
      <c r="C51" s="639"/>
      <c r="D51" s="640" t="e">
        <f>CONCATENATE(VLOOKUP($D$5,ID_list,54,FALSE)," ",VLOOKUP($D$5,ID_list,55,FALSE))</f>
        <v>#N/A</v>
      </c>
      <c r="E51" s="640"/>
      <c r="F51" s="640"/>
      <c r="G51" s="640"/>
      <c r="H51" s="571" t="s">
        <v>138</v>
      </c>
      <c r="I51" s="640" t="e">
        <f>VLOOKUP($D$5,ID_list,56,FALSE)</f>
        <v>#N/A</v>
      </c>
      <c r="J51" s="663"/>
      <c r="K51" s="664"/>
      <c r="L51" s="652" t="s">
        <v>752</v>
      </c>
      <c r="M51" s="653"/>
      <c r="N51" s="653"/>
      <c r="O51" s="653"/>
      <c r="R51" s="133"/>
      <c r="S51" s="128"/>
      <c r="T51" s="133"/>
      <c r="U51" s="129"/>
      <c r="V51" s="133"/>
      <c r="W51" s="129"/>
    </row>
    <row r="52" spans="1:23" s="180" customFormat="1" ht="26.25" customHeight="1" x14ac:dyDescent="0.2">
      <c r="A52" s="645" t="s">
        <v>258</v>
      </c>
      <c r="B52" s="630"/>
      <c r="C52" s="631"/>
      <c r="D52" s="650" t="e">
        <f>VLOOKUP($D$5,ID_list,57,FALSE)</f>
        <v>#N/A</v>
      </c>
      <c r="E52" s="650"/>
      <c r="F52" s="650"/>
      <c r="G52" s="650"/>
      <c r="H52" s="815" t="s">
        <v>752</v>
      </c>
      <c r="I52" s="816"/>
      <c r="J52" s="816"/>
      <c r="K52" s="817"/>
      <c r="L52" s="652" t="s">
        <v>752</v>
      </c>
      <c r="M52" s="653"/>
      <c r="N52" s="653"/>
      <c r="O52" s="653"/>
      <c r="R52" s="133"/>
      <c r="S52" s="128"/>
      <c r="T52" s="133"/>
      <c r="U52" s="129"/>
      <c r="V52" s="133"/>
      <c r="W52" s="129"/>
    </row>
    <row r="53" spans="1:23" s="180" customFormat="1" ht="26.25" customHeight="1" x14ac:dyDescent="0.2">
      <c r="A53" s="645" t="s">
        <v>127</v>
      </c>
      <c r="B53" s="630"/>
      <c r="C53" s="631"/>
      <c r="D53" s="640" t="e">
        <f>CONCATENATE(VLOOKUP($D$5,ID_list,62,FALSE)," ",VLOOKUP($D$5,ID_list,63,FALSE))</f>
        <v>#N/A</v>
      </c>
      <c r="E53" s="640"/>
      <c r="F53" s="640"/>
      <c r="G53" s="640"/>
      <c r="H53" s="572" t="s">
        <v>55</v>
      </c>
      <c r="I53" s="649" t="e">
        <f>VLOOKUP($D$5,ID_list,61,FALSE)</f>
        <v>#N/A</v>
      </c>
      <c r="J53" s="650"/>
      <c r="K53" s="651"/>
      <c r="L53" s="652" t="s">
        <v>752</v>
      </c>
      <c r="M53" s="653"/>
      <c r="N53" s="653"/>
      <c r="O53" s="653"/>
      <c r="R53" s="133"/>
      <c r="S53" s="128"/>
      <c r="T53" s="133"/>
      <c r="U53" s="129"/>
      <c r="V53" s="133"/>
      <c r="W53" s="129"/>
    </row>
    <row r="54" spans="1:23" s="180" customFormat="1" ht="26.25" customHeight="1" x14ac:dyDescent="0.2">
      <c r="A54" s="645" t="s">
        <v>261</v>
      </c>
      <c r="B54" s="630"/>
      <c r="C54" s="631"/>
      <c r="D54" s="650" t="e">
        <f>VLOOKUP($D$5,ID_list,64,FALSE)</f>
        <v>#N/A</v>
      </c>
      <c r="E54" s="650"/>
      <c r="F54" s="650"/>
      <c r="G54" s="650"/>
      <c r="H54" s="571" t="s">
        <v>139</v>
      </c>
      <c r="I54" s="801" t="e">
        <f>VLOOKUP($D$5,ID_list,58,FALSE)</f>
        <v>#N/A</v>
      </c>
      <c r="J54" s="802"/>
      <c r="K54" s="803"/>
      <c r="L54" s="652" t="s">
        <v>752</v>
      </c>
      <c r="M54" s="653"/>
      <c r="N54" s="653"/>
      <c r="O54" s="653"/>
      <c r="R54" s="133"/>
      <c r="S54" s="128"/>
      <c r="T54" s="133"/>
      <c r="U54" s="129"/>
      <c r="V54" s="133"/>
      <c r="W54" s="129"/>
    </row>
    <row r="55" spans="1:23" s="180" customFormat="1" ht="26.25" customHeight="1" x14ac:dyDescent="0.2">
      <c r="A55" s="645" t="s">
        <v>135</v>
      </c>
      <c r="B55" s="630"/>
      <c r="C55" s="631"/>
      <c r="D55" s="650" t="e">
        <f>VLOOKUP($D$5,ID_list,65,FALSE)</f>
        <v>#N/A</v>
      </c>
      <c r="E55" s="650"/>
      <c r="F55" s="650"/>
      <c r="G55" s="650"/>
      <c r="H55" s="572" t="s">
        <v>212</v>
      </c>
      <c r="I55" s="646" t="e">
        <f>VLOOKUP($D$5,ID_list,59,FALSE)</f>
        <v>#N/A</v>
      </c>
      <c r="J55" s="647"/>
      <c r="K55" s="648"/>
      <c r="L55" s="809" t="s">
        <v>752</v>
      </c>
      <c r="M55" s="810"/>
      <c r="N55" s="810"/>
      <c r="O55" s="810"/>
      <c r="R55" s="133"/>
      <c r="S55" s="128"/>
      <c r="T55" s="133"/>
      <c r="U55" s="129"/>
      <c r="V55" s="133"/>
      <c r="W55" s="129"/>
    </row>
    <row r="56" spans="1:23" s="180" customFormat="1" ht="26.25" customHeight="1" x14ac:dyDescent="0.2">
      <c r="A56" s="645" t="s">
        <v>136</v>
      </c>
      <c r="B56" s="630"/>
      <c r="C56" s="631"/>
      <c r="D56" s="650" t="e">
        <f>VLOOKUP($D$5,ID_list,66,FALSE)</f>
        <v>#N/A</v>
      </c>
      <c r="E56" s="650"/>
      <c r="F56" s="650"/>
      <c r="G56" s="650"/>
      <c r="H56" s="572" t="s">
        <v>131</v>
      </c>
      <c r="I56" s="646" t="e">
        <f>VLOOKUP($D$5,ID_list,60,FALSE)</f>
        <v>#N/A</v>
      </c>
      <c r="J56" s="647"/>
      <c r="K56" s="648"/>
      <c r="L56" s="652" t="s">
        <v>752</v>
      </c>
      <c r="M56" s="653"/>
      <c r="N56" s="653"/>
      <c r="O56" s="653"/>
      <c r="R56" s="133"/>
      <c r="S56" s="128"/>
      <c r="T56" s="133"/>
      <c r="U56" s="129"/>
      <c r="V56" s="133"/>
      <c r="W56" s="129"/>
    </row>
    <row r="57" spans="1:23" s="180" customFormat="1" ht="26.25" customHeight="1" x14ac:dyDescent="0.2">
      <c r="A57" s="641" t="s">
        <v>129</v>
      </c>
      <c r="B57" s="642"/>
      <c r="C57" s="643"/>
      <c r="D57" s="644" t="e">
        <f>CONCATENATE(VLOOKUP($D$5,ID_list,67,FALSE),"-",VLOOKUP($D$5,ID_list,68,FALSE))</f>
        <v>#N/A</v>
      </c>
      <c r="E57" s="644"/>
      <c r="F57" s="644"/>
      <c r="G57" s="644"/>
      <c r="H57" s="811" t="s">
        <v>752</v>
      </c>
      <c r="I57" s="812"/>
      <c r="J57" s="812"/>
      <c r="K57" s="813"/>
      <c r="L57" s="804" t="s">
        <v>752</v>
      </c>
      <c r="M57" s="814"/>
      <c r="N57" s="814"/>
      <c r="O57" s="814"/>
      <c r="R57" s="133"/>
      <c r="S57" s="128"/>
      <c r="T57" s="133"/>
      <c r="U57" s="129"/>
      <c r="V57" s="133"/>
      <c r="W57" s="129"/>
    </row>
    <row r="58" spans="1:23" s="180" customFormat="1" ht="26.25" customHeight="1" x14ac:dyDescent="0.2">
      <c r="A58" s="634" t="s">
        <v>115</v>
      </c>
      <c r="B58" s="635"/>
      <c r="C58" s="635"/>
      <c r="D58" s="635"/>
      <c r="E58" s="635"/>
      <c r="F58" s="635"/>
      <c r="G58" s="635"/>
      <c r="H58" s="635"/>
      <c r="I58" s="635"/>
      <c r="J58" s="635"/>
      <c r="K58" s="636"/>
      <c r="L58" s="804" t="s">
        <v>752</v>
      </c>
      <c r="M58" s="805"/>
      <c r="N58" s="805"/>
      <c r="O58" s="805"/>
      <c r="R58" s="166" t="s">
        <v>305</v>
      </c>
      <c r="S58" s="181" t="e">
        <f>VLOOKUP($D$5,ID_list,96,FALSE)</f>
        <v>#N/A</v>
      </c>
      <c r="T58" s="133"/>
      <c r="U58" s="129"/>
      <c r="V58" s="133"/>
      <c r="W58" s="129"/>
    </row>
    <row r="59" spans="1:23" s="180" customFormat="1" ht="26.25" customHeight="1" x14ac:dyDescent="0.2">
      <c r="A59" s="637" t="s">
        <v>182</v>
      </c>
      <c r="B59" s="638"/>
      <c r="C59" s="639"/>
      <c r="D59" s="640" t="e">
        <f>CONCATENATE(VLOOKUP($D$5,ID_list,69,FALSE)," ",VLOOKUP($D$5,ID_list,70,FALSE))</f>
        <v>#N/A</v>
      </c>
      <c r="E59" s="640"/>
      <c r="F59" s="640"/>
      <c r="G59" s="640"/>
      <c r="H59" s="571" t="s">
        <v>138</v>
      </c>
      <c r="I59" s="640" t="e">
        <f>VLOOKUP($D$5,ID_list,71,FALSE)</f>
        <v>#N/A</v>
      </c>
      <c r="J59" s="663"/>
      <c r="K59" s="664"/>
      <c r="L59" s="763" t="str">
        <f>IF(LEN('Capital Expenditures'!J5)&gt;0,"Capital Expenditure Reporting Section","")</f>
        <v/>
      </c>
      <c r="M59" s="764"/>
      <c r="N59" s="764"/>
      <c r="O59" s="764"/>
      <c r="R59" s="133"/>
      <c r="S59" s="128"/>
      <c r="T59" s="133"/>
      <c r="U59" s="129"/>
      <c r="V59" s="133"/>
      <c r="W59" s="129"/>
    </row>
    <row r="60" spans="1:23" s="180" customFormat="1" ht="26.25" customHeight="1" x14ac:dyDescent="0.2">
      <c r="A60" s="645" t="s">
        <v>258</v>
      </c>
      <c r="B60" s="630"/>
      <c r="C60" s="631"/>
      <c r="D60" s="650" t="e">
        <f>VLOOKUP($D$5,ID_list,72,FALSE)</f>
        <v>#N/A</v>
      </c>
      <c r="E60" s="650"/>
      <c r="F60" s="650"/>
      <c r="G60" s="650"/>
      <c r="H60" s="815" t="s">
        <v>752</v>
      </c>
      <c r="I60" s="816"/>
      <c r="J60" s="816"/>
      <c r="K60" s="817"/>
      <c r="L60" s="665" t="str">
        <f>IF(NOT(ISBLANK('Capital Expenditures'!J5)),"Capital Expenditure Project Specific Tab","")</f>
        <v/>
      </c>
      <c r="M60" s="665"/>
      <c r="N60" s="665"/>
      <c r="O60" s="665"/>
      <c r="P60" s="666"/>
      <c r="R60" s="133"/>
      <c r="S60" s="128"/>
      <c r="T60" s="133"/>
      <c r="U60" s="129"/>
      <c r="V60" s="133"/>
      <c r="W60" s="129"/>
    </row>
    <row r="61" spans="1:23" s="180" customFormat="1" ht="26.25" customHeight="1" x14ac:dyDescent="0.2">
      <c r="A61" s="645" t="s">
        <v>127</v>
      </c>
      <c r="B61" s="630"/>
      <c r="C61" s="631"/>
      <c r="D61" s="640" t="e">
        <f>CONCATENATE(VLOOKUP($D$5,ID_list,77,FALSE)," ",VLOOKUP($D$5,ID_list,78,FALSE))</f>
        <v>#N/A</v>
      </c>
      <c r="E61" s="640"/>
      <c r="F61" s="640"/>
      <c r="G61" s="640"/>
      <c r="H61" s="572" t="s">
        <v>55</v>
      </c>
      <c r="I61" s="649" t="e">
        <f>VLOOKUP($D$5,ID_list,76,FALSE)</f>
        <v>#N/A</v>
      </c>
      <c r="J61" s="650"/>
      <c r="K61" s="651"/>
      <c r="L61" s="804" t="s">
        <v>752</v>
      </c>
      <c r="M61" s="805"/>
      <c r="N61" s="805"/>
      <c r="O61" s="805"/>
      <c r="R61" s="133"/>
      <c r="S61" s="128"/>
      <c r="T61" s="133"/>
      <c r="U61" s="129"/>
      <c r="V61" s="133"/>
      <c r="W61" s="129"/>
    </row>
    <row r="62" spans="1:23" s="180" customFormat="1" ht="26.25" customHeight="1" x14ac:dyDescent="0.2">
      <c r="A62" s="645" t="s">
        <v>261</v>
      </c>
      <c r="B62" s="630"/>
      <c r="C62" s="631"/>
      <c r="D62" s="650" t="e">
        <f>VLOOKUP($D$5,ID_list,79,FALSE)</f>
        <v>#N/A</v>
      </c>
      <c r="E62" s="650"/>
      <c r="F62" s="650"/>
      <c r="G62" s="650"/>
      <c r="H62" s="571" t="s">
        <v>139</v>
      </c>
      <c r="I62" s="801" t="e">
        <f>VLOOKUP($D$5,ID_list,73,FALSE)</f>
        <v>#N/A</v>
      </c>
      <c r="J62" s="802"/>
      <c r="K62" s="803"/>
      <c r="L62" s="804" t="s">
        <v>752</v>
      </c>
      <c r="M62" s="805"/>
      <c r="N62" s="805"/>
      <c r="O62" s="805"/>
      <c r="R62" s="133"/>
      <c r="S62" s="128"/>
      <c r="T62" s="133"/>
      <c r="U62" s="129"/>
      <c r="V62" s="133"/>
      <c r="W62" s="129"/>
    </row>
    <row r="63" spans="1:23" s="180" customFormat="1" ht="26.25" customHeight="1" x14ac:dyDescent="0.2">
      <c r="A63" s="645" t="s">
        <v>135</v>
      </c>
      <c r="B63" s="630"/>
      <c r="C63" s="631"/>
      <c r="D63" s="650" t="e">
        <f>VLOOKUP($D$5,ID_list,80,FALSE)</f>
        <v>#N/A</v>
      </c>
      <c r="E63" s="650"/>
      <c r="F63" s="650"/>
      <c r="G63" s="650"/>
      <c r="H63" s="572" t="s">
        <v>212</v>
      </c>
      <c r="I63" s="646" t="e">
        <f>VLOOKUP($D$5,ID_list,74,FALSE)</f>
        <v>#N/A</v>
      </c>
      <c r="J63" s="647"/>
      <c r="K63" s="648"/>
      <c r="L63" s="804" t="s">
        <v>752</v>
      </c>
      <c r="M63" s="805"/>
      <c r="N63" s="805"/>
      <c r="O63" s="805"/>
      <c r="R63" s="133"/>
      <c r="S63" s="128"/>
      <c r="T63" s="133"/>
      <c r="U63" s="129"/>
      <c r="V63" s="133"/>
      <c r="W63" s="129"/>
    </row>
    <row r="64" spans="1:23" s="180" customFormat="1" ht="26.25" customHeight="1" x14ac:dyDescent="0.2">
      <c r="A64" s="645" t="s">
        <v>136</v>
      </c>
      <c r="B64" s="630"/>
      <c r="C64" s="631"/>
      <c r="D64" s="650" t="e">
        <f>VLOOKUP($D$5,ID_list,81,FALSE)</f>
        <v>#N/A</v>
      </c>
      <c r="E64" s="650"/>
      <c r="F64" s="650"/>
      <c r="G64" s="650"/>
      <c r="H64" s="572" t="s">
        <v>131</v>
      </c>
      <c r="I64" s="646" t="e">
        <f>VLOOKUP($D$5,ID_list,75,FALSE)</f>
        <v>#N/A</v>
      </c>
      <c r="J64" s="647"/>
      <c r="K64" s="648"/>
      <c r="L64" s="804" t="s">
        <v>752</v>
      </c>
      <c r="M64" s="805"/>
      <c r="N64" s="805"/>
      <c r="O64" s="805"/>
      <c r="R64" s="133"/>
      <c r="S64" s="128"/>
      <c r="T64" s="133"/>
      <c r="U64" s="129"/>
      <c r="V64" s="133"/>
      <c r="W64" s="129"/>
    </row>
    <row r="65" spans="1:23" s="180" customFormat="1" ht="26.25" customHeight="1" thickBot="1" x14ac:dyDescent="0.25">
      <c r="A65" s="797" t="s">
        <v>129</v>
      </c>
      <c r="B65" s="798"/>
      <c r="C65" s="799"/>
      <c r="D65" s="800" t="e">
        <f>CONCATENATE(VLOOKUP($D$5,ID_list,82,FALSE)," ",VLOOKUP($D$5,ID_list,83,FALSE))</f>
        <v>#N/A</v>
      </c>
      <c r="E65" s="800"/>
      <c r="F65" s="800"/>
      <c r="G65" s="800"/>
      <c r="H65" s="806" t="s">
        <v>752</v>
      </c>
      <c r="I65" s="807"/>
      <c r="J65" s="807"/>
      <c r="K65" s="808"/>
      <c r="L65" s="804" t="s">
        <v>752</v>
      </c>
      <c r="M65" s="805"/>
      <c r="N65" s="805"/>
      <c r="O65" s="805"/>
      <c r="R65" s="133"/>
      <c r="S65" s="128"/>
      <c r="T65" s="133"/>
      <c r="U65" s="129"/>
      <c r="V65" s="133"/>
      <c r="W65" s="129"/>
    </row>
    <row r="66" spans="1:23" s="180" customFormat="1" x14ac:dyDescent="0.2">
      <c r="A66" s="660" t="s">
        <v>757</v>
      </c>
      <c r="B66" s="660"/>
      <c r="C66" s="660"/>
      <c r="D66" s="660"/>
      <c r="E66" s="660"/>
      <c r="F66" s="660"/>
      <c r="G66" s="660"/>
      <c r="H66" s="660"/>
      <c r="I66" s="660"/>
      <c r="J66" s="660"/>
      <c r="K66" s="660"/>
      <c r="L66" s="660"/>
      <c r="M66" s="660"/>
      <c r="N66" s="660"/>
      <c r="O66" s="660"/>
      <c r="R66" s="126"/>
      <c r="S66" s="126"/>
      <c r="T66" s="126"/>
      <c r="U66" s="126"/>
      <c r="V66" s="126"/>
      <c r="W66" s="126"/>
    </row>
    <row r="67" spans="1:23" s="180" customFormat="1" hidden="1" x14ac:dyDescent="0.2">
      <c r="R67" s="126"/>
      <c r="S67" s="126"/>
      <c r="T67" s="126"/>
      <c r="U67" s="126"/>
      <c r="V67" s="126"/>
      <c r="W67" s="126"/>
    </row>
    <row r="68" spans="1:23" s="180" customFormat="1" hidden="1" x14ac:dyDescent="0.2">
      <c r="R68" s="126"/>
      <c r="S68" s="126"/>
      <c r="T68" s="126"/>
      <c r="U68" s="126"/>
      <c r="V68" s="126"/>
      <c r="W68" s="126"/>
    </row>
    <row r="69" spans="1:23" s="180" customFormat="1" hidden="1" x14ac:dyDescent="0.2">
      <c r="R69" s="126"/>
      <c r="S69" s="126"/>
      <c r="T69" s="126"/>
      <c r="U69" s="126"/>
      <c r="V69" s="126"/>
      <c r="W69" s="126"/>
    </row>
    <row r="70" spans="1:23" s="180" customFormat="1" hidden="1" x14ac:dyDescent="0.2">
      <c r="A70" s="194"/>
      <c r="B70" s="194"/>
      <c r="C70" s="194"/>
      <c r="D70" s="194"/>
      <c r="E70" s="194"/>
      <c r="R70" s="126"/>
      <c r="S70" s="126"/>
      <c r="T70" s="126"/>
      <c r="U70" s="126"/>
      <c r="V70" s="126"/>
      <c r="W70" s="126"/>
    </row>
    <row r="71" spans="1:23" s="180" customFormat="1" hidden="1" x14ac:dyDescent="0.2">
      <c r="R71" s="126"/>
      <c r="S71" s="126"/>
      <c r="T71" s="126"/>
      <c r="U71" s="126"/>
      <c r="V71" s="126"/>
      <c r="W71" s="126"/>
    </row>
    <row r="72" spans="1:23" s="180" customFormat="1" hidden="1" x14ac:dyDescent="0.2">
      <c r="R72" s="126"/>
      <c r="S72" s="126"/>
      <c r="T72" s="126"/>
      <c r="U72" s="126"/>
      <c r="V72" s="126"/>
      <c r="W72" s="126"/>
    </row>
    <row r="73" spans="1:23" s="180" customFormat="1" hidden="1" x14ac:dyDescent="0.2">
      <c r="R73" s="126"/>
      <c r="S73" s="126"/>
      <c r="T73" s="126"/>
      <c r="U73" s="126"/>
      <c r="V73" s="126"/>
      <c r="W73" s="126"/>
    </row>
    <row r="74" spans="1:23" s="180" customFormat="1" hidden="1" x14ac:dyDescent="0.2">
      <c r="R74" s="126"/>
      <c r="S74" s="126"/>
      <c r="T74" s="126"/>
      <c r="U74" s="126"/>
      <c r="V74" s="126"/>
      <c r="W74" s="126"/>
    </row>
  </sheetData>
  <sheetProtection sheet="1" objects="1" scenarios="1"/>
  <mergeCells count="223">
    <mergeCell ref="H52:K52"/>
    <mergeCell ref="L52:O52"/>
    <mergeCell ref="L53:O53"/>
    <mergeCell ref="L54:O54"/>
    <mergeCell ref="L26:O27"/>
    <mergeCell ref="L28:O28"/>
    <mergeCell ref="L29:O29"/>
    <mergeCell ref="L30:O30"/>
    <mergeCell ref="L31:O31"/>
    <mergeCell ref="L38:O38"/>
    <mergeCell ref="L32:O32"/>
    <mergeCell ref="A50:K50"/>
    <mergeCell ref="D51:G51"/>
    <mergeCell ref="L37:O37"/>
    <mergeCell ref="L33:O33"/>
    <mergeCell ref="L34:O34"/>
    <mergeCell ref="H36:K36"/>
    <mergeCell ref="L41:O41"/>
    <mergeCell ref="H41:K41"/>
    <mergeCell ref="L42:O42"/>
    <mergeCell ref="L43:O43"/>
    <mergeCell ref="H44:K44"/>
    <mergeCell ref="L44:O44"/>
    <mergeCell ref="L45:O45"/>
    <mergeCell ref="L64:O64"/>
    <mergeCell ref="H65:K65"/>
    <mergeCell ref="L65:O65"/>
    <mergeCell ref="L1:O1"/>
    <mergeCell ref="L2:O2"/>
    <mergeCell ref="L55:O55"/>
    <mergeCell ref="L56:O56"/>
    <mergeCell ref="H57:K57"/>
    <mergeCell ref="L57:O57"/>
    <mergeCell ref="L58:O58"/>
    <mergeCell ref="H60:K60"/>
    <mergeCell ref="L61:O61"/>
    <mergeCell ref="L62:O62"/>
    <mergeCell ref="L63:O63"/>
    <mergeCell ref="L48:O48"/>
    <mergeCell ref="H49:K49"/>
    <mergeCell ref="L49:O49"/>
    <mergeCell ref="L50:O50"/>
    <mergeCell ref="L51:O51"/>
    <mergeCell ref="I59:K59"/>
    <mergeCell ref="H7:J7"/>
    <mergeCell ref="H8:J8"/>
    <mergeCell ref="H9:J9"/>
    <mergeCell ref="H10:J10"/>
    <mergeCell ref="A65:C65"/>
    <mergeCell ref="D65:G65"/>
    <mergeCell ref="A64:C64"/>
    <mergeCell ref="D64:G64"/>
    <mergeCell ref="A61:C61"/>
    <mergeCell ref="D61:G61"/>
    <mergeCell ref="D55:G55"/>
    <mergeCell ref="A56:C56"/>
    <mergeCell ref="F31:K31"/>
    <mergeCell ref="I56:K56"/>
    <mergeCell ref="I54:K54"/>
    <mergeCell ref="I64:K64"/>
    <mergeCell ref="I62:K62"/>
    <mergeCell ref="I38:K38"/>
    <mergeCell ref="I48:K48"/>
    <mergeCell ref="I46:K46"/>
    <mergeCell ref="A42:K42"/>
    <mergeCell ref="A41:C41"/>
    <mergeCell ref="I43:K43"/>
    <mergeCell ref="A36:C36"/>
    <mergeCell ref="D43:G43"/>
    <mergeCell ref="A44:C44"/>
    <mergeCell ref="A54:C54"/>
    <mergeCell ref="A53:C53"/>
    <mergeCell ref="A63:C63"/>
    <mergeCell ref="D63:G63"/>
    <mergeCell ref="I63:K63"/>
    <mergeCell ref="I61:K61"/>
    <mergeCell ref="A62:C62"/>
    <mergeCell ref="D36:G36"/>
    <mergeCell ref="A37:C37"/>
    <mergeCell ref="D37:G37"/>
    <mergeCell ref="D15:G15"/>
    <mergeCell ref="A17:C17"/>
    <mergeCell ref="A28:B28"/>
    <mergeCell ref="A43:C43"/>
    <mergeCell ref="A40:C40"/>
    <mergeCell ref="A30:K30"/>
    <mergeCell ref="A29:B29"/>
    <mergeCell ref="A25:K25"/>
    <mergeCell ref="C29:K29"/>
    <mergeCell ref="C28:H28"/>
    <mergeCell ref="J28:K28"/>
    <mergeCell ref="A52:C52"/>
    <mergeCell ref="A51:C51"/>
    <mergeCell ref="A48:C48"/>
    <mergeCell ref="A46:C46"/>
    <mergeCell ref="D62:G62"/>
    <mergeCell ref="A60:C60"/>
    <mergeCell ref="D60:G60"/>
    <mergeCell ref="I6:K6"/>
    <mergeCell ref="L6:O6"/>
    <mergeCell ref="D21:G21"/>
    <mergeCell ref="A22:C22"/>
    <mergeCell ref="D22:G22"/>
    <mergeCell ref="A15:C15"/>
    <mergeCell ref="A38:C38"/>
    <mergeCell ref="D38:G38"/>
    <mergeCell ref="A31:E31"/>
    <mergeCell ref="A33:K33"/>
    <mergeCell ref="L59:O59"/>
    <mergeCell ref="D10:G10"/>
    <mergeCell ref="D11:G11"/>
    <mergeCell ref="A14:C14"/>
    <mergeCell ref="D14:G14"/>
    <mergeCell ref="L7:N11"/>
    <mergeCell ref="H14:I14"/>
    <mergeCell ref="J14:K14"/>
    <mergeCell ref="L14:O14"/>
    <mergeCell ref="H13:I13"/>
    <mergeCell ref="D9:G9"/>
    <mergeCell ref="D7:G7"/>
    <mergeCell ref="K7:K11"/>
    <mergeCell ref="H11:J11"/>
    <mergeCell ref="A34:K34"/>
    <mergeCell ref="A35:C35"/>
    <mergeCell ref="D35:G35"/>
    <mergeCell ref="I35:K35"/>
    <mergeCell ref="H19:K19"/>
    <mergeCell ref="H12:K12"/>
    <mergeCell ref="A13:C13"/>
    <mergeCell ref="D8:G8"/>
    <mergeCell ref="H16:K16"/>
    <mergeCell ref="H17:K17"/>
    <mergeCell ref="H18:K18"/>
    <mergeCell ref="A12:C12"/>
    <mergeCell ref="D12:G12"/>
    <mergeCell ref="J13:K13"/>
    <mergeCell ref="H15:I15"/>
    <mergeCell ref="A16:C16"/>
    <mergeCell ref="D16:G16"/>
    <mergeCell ref="D17:G17"/>
    <mergeCell ref="A7:A11"/>
    <mergeCell ref="B7:C7"/>
    <mergeCell ref="B8:C8"/>
    <mergeCell ref="B9:C9"/>
    <mergeCell ref="A1:K1"/>
    <mergeCell ref="A2:K2"/>
    <mergeCell ref="A3:K3"/>
    <mergeCell ref="A6:C6"/>
    <mergeCell ref="D6:G6"/>
    <mergeCell ref="A4:K4"/>
    <mergeCell ref="A5:C5"/>
    <mergeCell ref="E5:K5"/>
    <mergeCell ref="L3:O3"/>
    <mergeCell ref="L4:O4"/>
    <mergeCell ref="L5:O5"/>
    <mergeCell ref="L12:O12"/>
    <mergeCell ref="L13:O13"/>
    <mergeCell ref="L16:O16"/>
    <mergeCell ref="L17:O17"/>
    <mergeCell ref="L18:O18"/>
    <mergeCell ref="L19:O19"/>
    <mergeCell ref="L20:O20"/>
    <mergeCell ref="L21:O21"/>
    <mergeCell ref="L22:O22"/>
    <mergeCell ref="L36:O36"/>
    <mergeCell ref="I40:K40"/>
    <mergeCell ref="I37:K37"/>
    <mergeCell ref="A18:C18"/>
    <mergeCell ref="D18:G18"/>
    <mergeCell ref="L15:O15"/>
    <mergeCell ref="L24:O24"/>
    <mergeCell ref="J15:K15"/>
    <mergeCell ref="A21:C21"/>
    <mergeCell ref="A23:C23"/>
    <mergeCell ref="D23:G23"/>
    <mergeCell ref="A66:O66"/>
    <mergeCell ref="L40:O40"/>
    <mergeCell ref="A55:C55"/>
    <mergeCell ref="I51:K51"/>
    <mergeCell ref="I53:K53"/>
    <mergeCell ref="D52:G52"/>
    <mergeCell ref="D53:G53"/>
    <mergeCell ref="L60:P60"/>
    <mergeCell ref="D13:G13"/>
    <mergeCell ref="A20:C20"/>
    <mergeCell ref="A24:G24"/>
    <mergeCell ref="L47:O47"/>
    <mergeCell ref="A32:K32"/>
    <mergeCell ref="L23:O23"/>
    <mergeCell ref="A39:C39"/>
    <mergeCell ref="D39:G39"/>
    <mergeCell ref="I39:K39"/>
    <mergeCell ref="L35:O35"/>
    <mergeCell ref="A19:C19"/>
    <mergeCell ref="D19:G20"/>
    <mergeCell ref="H24:K24"/>
    <mergeCell ref="D44:G44"/>
    <mergeCell ref="L25:O25"/>
    <mergeCell ref="D47:G47"/>
    <mergeCell ref="B10:C10"/>
    <mergeCell ref="B11:C11"/>
    <mergeCell ref="L39:O39"/>
    <mergeCell ref="A58:K58"/>
    <mergeCell ref="A59:C59"/>
    <mergeCell ref="D59:G59"/>
    <mergeCell ref="A49:C49"/>
    <mergeCell ref="D49:G49"/>
    <mergeCell ref="A57:C57"/>
    <mergeCell ref="D57:G57"/>
    <mergeCell ref="A47:C47"/>
    <mergeCell ref="I55:K55"/>
    <mergeCell ref="I45:K45"/>
    <mergeCell ref="D56:G56"/>
    <mergeCell ref="A45:C45"/>
    <mergeCell ref="D45:G45"/>
    <mergeCell ref="D48:G48"/>
    <mergeCell ref="D54:G54"/>
    <mergeCell ref="L46:O46"/>
    <mergeCell ref="A26:K27"/>
    <mergeCell ref="I47:K47"/>
    <mergeCell ref="D46:G46"/>
    <mergeCell ref="D40:G40"/>
    <mergeCell ref="D41:G41"/>
  </mergeCells>
  <phoneticPr fontId="0" type="noConversion"/>
  <conditionalFormatting sqref="E5:K5">
    <cfRule type="expression" dxfId="122" priority="1" stopIfTrue="1">
      <formula>ISBLANK($D$5)</formula>
    </cfRule>
  </conditionalFormatting>
  <hyperlinks>
    <hyperlink ref="A6:C6" location="definitions!A4" display="Facility Name" xr:uid="{00000000-0004-0000-0400-000000000000}"/>
    <hyperlink ref="A5:C5" location="HCCIS_ID_list" display="HCCIS ID" xr:uid="{00000000-0004-0000-0400-000001000000}"/>
    <hyperlink ref="H6" location="defs_NPI" display="NPI" xr:uid="{00000000-0004-0000-0400-000002000000}"/>
    <hyperlink ref="L59:O59" location="code_7594" display="Capital Expenditure Reporting Section" xr:uid="{00000000-0004-0000-0400-000003000000}"/>
    <hyperlink ref="L37:O37" location="'Fixed Equip'!A1" display="Fixed Equipment" xr:uid="{00000000-0004-0000-0400-000004000000}"/>
    <hyperlink ref="L38:O38" location="'Portable Equip'!A1" display="Portable Equipment" xr:uid="{00000000-0004-0000-0400-000005000000}"/>
    <hyperlink ref="L39:O39" location="'Mobile Equip'!A1" display="Mobile Equipment" xr:uid="{00000000-0004-0000-0400-000006000000}"/>
    <hyperlink ref="L60:O60" location="'Capital Expend Project Specific'!A1" display="Click here to go the the Capital Expenditure Project Specific Tab" xr:uid="{00000000-0004-0000-0400-000007000000}"/>
    <hyperlink ref="A31:E31" location="cap_exp_errors" display="cap_exp_errors" xr:uid="{00000000-0004-0000-0400-000008000000}"/>
    <hyperlink ref="F31:K31" location="'Capital Expend Project Specific'!A1" display="Capital Expenditure Project Specific Tab" xr:uid="{00000000-0004-0000-0400-000009000000}"/>
  </hyperlinks>
  <printOptions horizontalCentered="1"/>
  <pageMargins left="0.75" right="0.75" top="1" bottom="1" header="0.5" footer="0.5"/>
  <pageSetup scale="51" fitToHeight="2" orientation="portrait" r:id="rId1"/>
  <headerFooter alignWithMargins="0">
    <oddFooter>&amp;L&amp;"Calibri,Regular"Diagnostic Imaging Facility Utilization Report
Fiscal Year 2024
&amp;C&amp;"Calibri,Regular"&amp;P of &amp;N&amp;R&amp;"Calibri,Regular"Minnesota Department of Health
Phone 651-201-3572
health.hccis@state.mn.us</oddFooter>
  </headerFooter>
  <rowBreaks count="1" manualBreakCount="1">
    <brk id="31"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W74"/>
  <sheetViews>
    <sheetView zoomScaleNormal="100" workbookViewId="0">
      <selection sqref="A1:S1"/>
    </sheetView>
  </sheetViews>
  <sheetFormatPr defaultRowHeight="12.75" x14ac:dyDescent="0.2"/>
  <cols>
    <col min="1" max="13" width="9.140625" style="126"/>
    <col min="14" max="14" width="10.42578125" style="126" customWidth="1"/>
    <col min="15" max="23" width="0" style="126" hidden="1" customWidth="1"/>
    <col min="24" max="16384" width="9.140625" style="126"/>
  </cols>
  <sheetData>
    <row r="1" spans="1:23" ht="23.25" customHeight="1" x14ac:dyDescent="0.4">
      <c r="A1" s="708" t="s">
        <v>39</v>
      </c>
      <c r="B1" s="865"/>
      <c r="C1" s="865"/>
      <c r="D1" s="865"/>
      <c r="E1" s="865"/>
      <c r="F1" s="865"/>
      <c r="G1" s="865"/>
      <c r="H1" s="865"/>
      <c r="I1" s="865"/>
      <c r="J1" s="865"/>
      <c r="K1" s="865"/>
      <c r="R1" s="128" t="s">
        <v>365</v>
      </c>
      <c r="S1" s="128"/>
      <c r="T1" s="128"/>
      <c r="U1" s="128"/>
      <c r="V1" s="128"/>
      <c r="W1" s="128"/>
    </row>
    <row r="2" spans="1:23" ht="21" customHeight="1" thickBot="1" x14ac:dyDescent="0.4">
      <c r="A2" s="709" t="str">
        <f>CONCATENATE("Utilization Data ",'Demog Contact'!L1)</f>
        <v>Utilization Data 2024</v>
      </c>
      <c r="B2" s="710"/>
      <c r="C2" s="710"/>
      <c r="D2" s="710"/>
      <c r="E2" s="710"/>
      <c r="F2" s="710"/>
      <c r="G2" s="710"/>
      <c r="H2" s="710"/>
      <c r="I2" s="710"/>
      <c r="J2" s="710"/>
      <c r="K2" s="710"/>
      <c r="R2" s="128"/>
      <c r="S2" s="128"/>
      <c r="T2" s="128"/>
      <c r="U2" s="129"/>
      <c r="V2" s="129"/>
      <c r="W2" s="129"/>
    </row>
    <row r="3" spans="1:23" ht="24.95" customHeight="1" x14ac:dyDescent="0.2">
      <c r="A3" s="711" t="s">
        <v>57</v>
      </c>
      <c r="B3" s="712"/>
      <c r="C3" s="712"/>
      <c r="D3" s="712"/>
      <c r="E3" s="712"/>
      <c r="F3" s="712"/>
      <c r="G3" s="712"/>
      <c r="H3" s="712"/>
      <c r="I3" s="712"/>
      <c r="J3" s="712"/>
      <c r="K3" s="713"/>
      <c r="R3" s="130"/>
      <c r="S3" s="130"/>
      <c r="T3" s="130"/>
      <c r="U3" s="129"/>
      <c r="V3" s="129"/>
      <c r="W3" s="129"/>
    </row>
    <row r="4" spans="1:23" ht="24.95" customHeight="1" x14ac:dyDescent="0.2">
      <c r="A4" s="718" t="s">
        <v>32</v>
      </c>
      <c r="B4" s="719"/>
      <c r="C4" s="719"/>
      <c r="D4" s="719"/>
      <c r="E4" s="719"/>
      <c r="F4" s="719"/>
      <c r="G4" s="719"/>
      <c r="H4" s="719"/>
      <c r="I4" s="719"/>
      <c r="J4" s="719"/>
      <c r="K4" s="720"/>
      <c r="R4" s="130"/>
      <c r="S4" s="130"/>
      <c r="T4" s="130"/>
      <c r="U4" s="129"/>
      <c r="V4" s="129"/>
      <c r="W4" s="129"/>
    </row>
    <row r="5" spans="1:23" ht="30" customHeight="1" x14ac:dyDescent="0.2">
      <c r="A5" s="866" t="s">
        <v>660</v>
      </c>
      <c r="B5" s="867"/>
      <c r="C5" s="867"/>
      <c r="D5" s="131">
        <f>start</f>
        <v>0</v>
      </c>
      <c r="E5" s="723" t="str">
        <f>IF(ISBLANK(D5),"This is the unique ID assigned to your facility for the HCCIS data collection.  Please click on the HCCIS ID link, select your ID from the list, and enter it here.","Please verify the information that we have on file for your facility.")</f>
        <v>Please verify the information that we have on file for your facility.</v>
      </c>
      <c r="F5" s="724"/>
      <c r="G5" s="724"/>
      <c r="H5" s="724"/>
      <c r="I5" s="724"/>
      <c r="J5" s="724"/>
      <c r="K5" s="725"/>
      <c r="R5" s="130"/>
      <c r="S5" s="130"/>
      <c r="T5" s="130"/>
      <c r="U5" s="129"/>
      <c r="V5" s="129"/>
      <c r="W5" s="129"/>
    </row>
    <row r="6" spans="1:23" ht="24.95" customHeight="1" x14ac:dyDescent="0.2">
      <c r="A6" s="868" t="s">
        <v>207</v>
      </c>
      <c r="B6" s="869"/>
      <c r="C6" s="870"/>
      <c r="D6" s="717" t="e">
        <f>VLOOKUP($D$5,ID_list,2,FALSE)</f>
        <v>#N/A</v>
      </c>
      <c r="E6" s="717"/>
      <c r="F6" s="717"/>
      <c r="G6" s="717"/>
      <c r="H6" s="132" t="s">
        <v>87</v>
      </c>
      <c r="I6" s="753" t="e">
        <f>VLOOKUP($D$5,ID_list,91,FALSE)</f>
        <v>#N/A</v>
      </c>
      <c r="J6" s="753"/>
      <c r="K6" s="754"/>
      <c r="L6" s="755" t="e">
        <f>IF(I6=0,"Please enter the NPI assigned by CMS for the Reporting Entity."," ")</f>
        <v>#N/A</v>
      </c>
      <c r="M6" s="756"/>
      <c r="N6" s="756"/>
      <c r="O6" s="757"/>
      <c r="R6" s="133"/>
      <c r="S6" s="134"/>
      <c r="T6" s="133"/>
      <c r="U6" s="129"/>
      <c r="V6" s="133"/>
      <c r="W6" s="129"/>
    </row>
    <row r="7" spans="1:23" ht="24.95" customHeight="1" x14ac:dyDescent="0.2">
      <c r="A7" s="871"/>
      <c r="B7" s="863" t="s">
        <v>127</v>
      </c>
      <c r="C7" s="864"/>
      <c r="D7" s="736" t="e">
        <f>CONCATENATE(VLOOKUP($D$5,ID_list,4,FALSE)," ",VLOOKUP($D$5,ID_list,5,FALSE))</f>
        <v>#N/A</v>
      </c>
      <c r="E7" s="736"/>
      <c r="F7" s="736"/>
      <c r="G7" s="736"/>
      <c r="H7" s="727" t="e">
        <f>CONCATENATE(VLOOKUP($D$5,ID_list,10,FALSE)," ",VLOOKUP($D$5,ID_list,11,FALSE))</f>
        <v>#N/A</v>
      </c>
      <c r="I7" s="728"/>
      <c r="J7" s="729"/>
      <c r="K7" s="726" t="s">
        <v>35</v>
      </c>
      <c r="L7" s="768" t="s">
        <v>126</v>
      </c>
      <c r="M7" s="769"/>
      <c r="N7" s="770"/>
      <c r="R7" s="135" t="s">
        <v>301</v>
      </c>
      <c r="S7" s="136" t="e">
        <f>VLOOKUP($D$5,ID_list,92,FALSE)</f>
        <v>#N/A</v>
      </c>
      <c r="T7" s="133"/>
      <c r="U7" s="137"/>
      <c r="V7" s="133"/>
      <c r="W7" s="129"/>
    </row>
    <row r="8" spans="1:23" ht="24.95" customHeight="1" x14ac:dyDescent="0.2">
      <c r="A8" s="871"/>
      <c r="B8" s="863" t="s">
        <v>128</v>
      </c>
      <c r="C8" s="864"/>
      <c r="D8" s="736" t="e">
        <f>VLOOKUP($D$5,ID_list,3,FALSE)</f>
        <v>#N/A</v>
      </c>
      <c r="E8" s="736"/>
      <c r="F8" s="736"/>
      <c r="G8" s="736"/>
      <c r="H8" s="727" t="e">
        <f>VLOOKUP($D$5,ID_list,12,FALSE)</f>
        <v>#N/A</v>
      </c>
      <c r="I8" s="728"/>
      <c r="J8" s="729"/>
      <c r="K8" s="726"/>
      <c r="L8" s="771"/>
      <c r="M8" s="772"/>
      <c r="N8" s="773"/>
      <c r="R8" s="133"/>
      <c r="S8" s="128"/>
      <c r="T8" s="133"/>
      <c r="U8" s="129"/>
      <c r="V8" s="133"/>
      <c r="W8" s="129"/>
    </row>
    <row r="9" spans="1:23" ht="24.95" customHeight="1" x14ac:dyDescent="0.2">
      <c r="A9" s="871"/>
      <c r="B9" s="863" t="s">
        <v>135</v>
      </c>
      <c r="C9" s="864"/>
      <c r="D9" s="736" t="e">
        <f>VLOOKUP($D$5,ID_list,6,FALSE)</f>
        <v>#N/A</v>
      </c>
      <c r="E9" s="736"/>
      <c r="F9" s="736"/>
      <c r="G9" s="736"/>
      <c r="H9" s="727" t="e">
        <f>VLOOKUP($D$5,ID_list,13,FALSE)</f>
        <v>#N/A</v>
      </c>
      <c r="I9" s="728"/>
      <c r="J9" s="729"/>
      <c r="K9" s="726"/>
      <c r="L9" s="771"/>
      <c r="M9" s="772"/>
      <c r="N9" s="773"/>
      <c r="R9" s="133"/>
      <c r="S9" s="134"/>
      <c r="T9" s="133"/>
      <c r="U9" s="129"/>
      <c r="V9" s="138"/>
      <c r="W9" s="129"/>
    </row>
    <row r="10" spans="1:23" ht="24.95" customHeight="1" x14ac:dyDescent="0.2">
      <c r="A10" s="871"/>
      <c r="B10" s="863" t="s">
        <v>136</v>
      </c>
      <c r="C10" s="864"/>
      <c r="D10" s="765" t="e">
        <f>VLOOKUP($D$5,ID_list,7,FALSE)</f>
        <v>#N/A</v>
      </c>
      <c r="E10" s="766"/>
      <c r="F10" s="766"/>
      <c r="G10" s="767"/>
      <c r="H10" s="727" t="e">
        <f>VLOOKUP($D$5,ID_list,14,FALSE)</f>
        <v>#N/A</v>
      </c>
      <c r="I10" s="728"/>
      <c r="J10" s="729"/>
      <c r="K10" s="726"/>
      <c r="L10" s="771"/>
      <c r="M10" s="772"/>
      <c r="N10" s="773"/>
      <c r="R10" s="133"/>
      <c r="S10" s="134"/>
      <c r="T10" s="133"/>
      <c r="U10" s="129"/>
      <c r="V10" s="129"/>
      <c r="W10" s="129"/>
    </row>
    <row r="11" spans="1:23" ht="24.95" customHeight="1" x14ac:dyDescent="0.2">
      <c r="A11" s="871"/>
      <c r="B11" s="863" t="s">
        <v>129</v>
      </c>
      <c r="C11" s="864"/>
      <c r="D11" s="736" t="e">
        <f>CONCATENATE(VLOOKUP($D$5,ID_list,8,FALSE),"-",VLOOKUP($D$5,ID_list,9,FALSE))</f>
        <v>#N/A</v>
      </c>
      <c r="E11" s="736"/>
      <c r="F11" s="736"/>
      <c r="G11" s="736"/>
      <c r="H11" s="727" t="e">
        <f>CONCATENATE(VLOOKUP($D$5,ID_list,15,FALSE),"-",VLOOKUP($D$5,ID_list,16,FALSE))</f>
        <v>#N/A</v>
      </c>
      <c r="I11" s="728"/>
      <c r="J11" s="729"/>
      <c r="K11" s="726"/>
      <c r="L11" s="774"/>
      <c r="M11" s="774"/>
      <c r="N11" s="775"/>
      <c r="R11" s="133"/>
      <c r="S11" s="130"/>
      <c r="T11" s="133"/>
      <c r="U11" s="129"/>
      <c r="V11" s="129"/>
      <c r="W11" s="129"/>
    </row>
    <row r="12" spans="1:23" ht="24.95" customHeight="1" x14ac:dyDescent="0.2">
      <c r="A12" s="828" t="s">
        <v>130</v>
      </c>
      <c r="B12" s="829"/>
      <c r="C12" s="829"/>
      <c r="D12" s="745" t="e">
        <f>VLOOKUP($D$5,ID_list,17,FALSE)</f>
        <v>#N/A</v>
      </c>
      <c r="E12" s="745"/>
      <c r="F12" s="745"/>
      <c r="G12" s="745"/>
      <c r="H12" s="733" t="s">
        <v>59</v>
      </c>
      <c r="I12" s="734"/>
      <c r="J12" s="734"/>
      <c r="K12" s="735"/>
      <c r="L12" s="139"/>
      <c r="M12" s="139"/>
      <c r="N12" s="140"/>
      <c r="O12" s="139"/>
      <c r="R12" s="133"/>
      <c r="S12" s="130"/>
      <c r="T12" s="133"/>
      <c r="U12" s="129"/>
      <c r="V12" s="133"/>
      <c r="W12" s="129"/>
    </row>
    <row r="13" spans="1:23" ht="24.95" customHeight="1" x14ac:dyDescent="0.2">
      <c r="A13" s="828" t="s">
        <v>137</v>
      </c>
      <c r="B13" s="829"/>
      <c r="C13" s="829"/>
      <c r="D13" s="667" t="e">
        <f>VLOOKUP($D$5,ID_list,18,FALSE)</f>
        <v>#N/A</v>
      </c>
      <c r="E13" s="667"/>
      <c r="F13" s="667"/>
      <c r="G13" s="667"/>
      <c r="H13" s="855" t="str">
        <f>CONCATENATE('Demog Contact'!L1," Fiscal Year End Date")</f>
        <v>2024 Fiscal Year End Date</v>
      </c>
      <c r="I13" s="855"/>
      <c r="J13" s="856" t="e">
        <f>VLOOKUP($D$5,ID_list,97,FALSE)</f>
        <v>#N/A</v>
      </c>
      <c r="K13" s="857"/>
      <c r="L13" s="698"/>
      <c r="M13" s="862"/>
      <c r="N13" s="862"/>
      <c r="O13" s="141"/>
      <c r="R13" s="133"/>
      <c r="S13" s="130"/>
      <c r="T13" s="133"/>
      <c r="U13" s="129"/>
      <c r="V13" s="133"/>
      <c r="W13" s="129"/>
    </row>
    <row r="14" spans="1:23" ht="24.95" customHeight="1" x14ac:dyDescent="0.2">
      <c r="A14" s="828" t="s">
        <v>132</v>
      </c>
      <c r="B14" s="829"/>
      <c r="C14" s="829"/>
      <c r="D14" s="717" t="e">
        <f>CONCATENATE(VLOOKUP($D$5,ID_list,19,FALSE)," ",VLOOKUP($D$5,ID_list,20,FALSE))</f>
        <v>#N/A</v>
      </c>
      <c r="E14" s="717"/>
      <c r="F14" s="717"/>
      <c r="G14" s="717"/>
      <c r="H14" s="855" t="s">
        <v>58</v>
      </c>
      <c r="I14" s="858"/>
      <c r="J14" s="778" t="e">
        <f>VLOOKUP($D$5,ID_list,98,FALSE)</f>
        <v>#N/A</v>
      </c>
      <c r="K14" s="779"/>
      <c r="L14" s="698"/>
      <c r="M14" s="780"/>
      <c r="N14" s="780"/>
      <c r="O14" s="780"/>
      <c r="R14" s="133"/>
      <c r="S14" s="142"/>
      <c r="T14" s="133"/>
      <c r="U14" s="142"/>
      <c r="V14" s="133"/>
      <c r="W14" s="129"/>
    </row>
    <row r="15" spans="1:23" ht="24.95" customHeight="1" x14ac:dyDescent="0.2">
      <c r="A15" s="828" t="s">
        <v>133</v>
      </c>
      <c r="B15" s="829"/>
      <c r="C15" s="829"/>
      <c r="D15" s="717" t="e">
        <f>VLOOKUP($D$5,ID_list,21,FALSE)</f>
        <v>#N/A</v>
      </c>
      <c r="E15" s="717"/>
      <c r="F15" s="717"/>
      <c r="G15" s="717"/>
      <c r="H15" s="859" t="str">
        <f>IF(NOT(ISBLANK('Capital Expenditures'!J5)),"CER System ID MDH reference only","")</f>
        <v/>
      </c>
      <c r="I15" s="860"/>
      <c r="J15" s="692" t="str">
        <f>IF(NOT(ISBLANK('Capital Expenditures'!J5)),VLOOKUP($D$5,ID_list,99,FALSE),"")</f>
        <v/>
      </c>
      <c r="K15" s="861"/>
      <c r="L15" s="143"/>
      <c r="M15" s="143"/>
      <c r="N15" s="143"/>
      <c r="O15" s="143"/>
      <c r="R15" s="133"/>
      <c r="S15" s="142"/>
      <c r="T15" s="133"/>
      <c r="U15" s="129"/>
      <c r="V15" s="133"/>
      <c r="W15" s="129"/>
    </row>
    <row r="16" spans="1:23" ht="24.95" customHeight="1" x14ac:dyDescent="0.2">
      <c r="A16" s="828" t="s">
        <v>263</v>
      </c>
      <c r="B16" s="863"/>
      <c r="C16" s="872"/>
      <c r="D16" s="750" t="e">
        <f>VLOOKUP($D$5,ID_list,22,FALSE)</f>
        <v>#N/A</v>
      </c>
      <c r="E16" s="717"/>
      <c r="F16" s="873"/>
      <c r="G16" s="873"/>
      <c r="H16" s="144"/>
      <c r="I16" s="144"/>
      <c r="J16" s="144"/>
      <c r="K16" s="145"/>
      <c r="L16" s="146"/>
      <c r="M16" s="143"/>
      <c r="N16" s="143"/>
      <c r="O16" s="143"/>
      <c r="R16" s="133"/>
      <c r="S16" s="142"/>
      <c r="T16" s="133"/>
      <c r="U16" s="129"/>
      <c r="V16" s="133"/>
      <c r="W16" s="129"/>
    </row>
    <row r="17" spans="1:23" ht="24.95" customHeight="1" x14ac:dyDescent="0.2">
      <c r="A17" s="828" t="s">
        <v>134</v>
      </c>
      <c r="B17" s="829"/>
      <c r="C17" s="829"/>
      <c r="D17" s="717" t="e">
        <f>VLOOKUP($D$5,ID_list,23,FALSE)</f>
        <v>#N/A</v>
      </c>
      <c r="E17" s="717"/>
      <c r="F17" s="717"/>
      <c r="G17" s="717"/>
      <c r="H17" s="147"/>
      <c r="I17" s="147"/>
      <c r="J17" s="148"/>
      <c r="K17" s="149"/>
      <c r="L17" s="150"/>
      <c r="M17" s="150"/>
      <c r="N17" s="150"/>
      <c r="O17" s="143"/>
      <c r="R17" s="133"/>
      <c r="S17" s="142"/>
      <c r="T17" s="133"/>
      <c r="U17" s="129"/>
      <c r="V17" s="133"/>
      <c r="W17" s="129"/>
    </row>
    <row r="18" spans="1:23" ht="24.95" customHeight="1" x14ac:dyDescent="0.2">
      <c r="A18" s="828" t="s">
        <v>33</v>
      </c>
      <c r="B18" s="829"/>
      <c r="C18" s="829"/>
      <c r="D18" s="686" t="e">
        <f>VLOOKUP($D$5,ID_list,84,FALSE)</f>
        <v>#N/A</v>
      </c>
      <c r="E18" s="687"/>
      <c r="F18" s="687"/>
      <c r="G18" s="688"/>
      <c r="H18" s="151"/>
      <c r="I18" s="151"/>
      <c r="J18" s="151"/>
      <c r="K18" s="152"/>
      <c r="L18" s="153"/>
      <c r="M18" s="154"/>
      <c r="N18" s="154"/>
      <c r="O18" s="154"/>
      <c r="R18" s="133"/>
      <c r="S18" s="142"/>
      <c r="T18" s="133"/>
      <c r="U18" s="129"/>
      <c r="V18" s="133"/>
      <c r="W18" s="129"/>
    </row>
    <row r="19" spans="1:23" s="141" customFormat="1" ht="24.95" customHeight="1" x14ac:dyDescent="0.2">
      <c r="A19" s="828"/>
      <c r="B19" s="829"/>
      <c r="C19" s="829"/>
      <c r="D19" s="676" t="s">
        <v>211</v>
      </c>
      <c r="E19" s="677"/>
      <c r="F19" s="677"/>
      <c r="G19" s="678"/>
      <c r="H19" s="730" t="s">
        <v>140</v>
      </c>
      <c r="I19" s="731"/>
      <c r="J19" s="731"/>
      <c r="K19" s="732"/>
      <c r="L19" s="155"/>
      <c r="M19" s="155"/>
      <c r="N19" s="155"/>
      <c r="O19" s="155"/>
      <c r="P19" s="155"/>
      <c r="Q19" s="156"/>
      <c r="R19" s="157"/>
      <c r="S19" s="158"/>
      <c r="T19" s="133"/>
      <c r="U19" s="129"/>
      <c r="V19" s="133"/>
      <c r="W19" s="129"/>
    </row>
    <row r="20" spans="1:23" s="141" customFormat="1" ht="24.95" customHeight="1" x14ac:dyDescent="0.2">
      <c r="A20" s="828"/>
      <c r="B20" s="829"/>
      <c r="C20" s="829"/>
      <c r="D20" s="679"/>
      <c r="E20" s="680"/>
      <c r="F20" s="680"/>
      <c r="G20" s="681"/>
      <c r="H20" s="159" t="s">
        <v>141</v>
      </c>
      <c r="I20" s="159" t="s">
        <v>142</v>
      </c>
      <c r="J20" s="159" t="s">
        <v>143</v>
      </c>
      <c r="K20" s="160" t="s">
        <v>56</v>
      </c>
      <c r="L20" s="161"/>
      <c r="M20" s="162"/>
      <c r="N20" s="162"/>
      <c r="O20" s="136"/>
      <c r="R20" s="133"/>
      <c r="S20" s="129"/>
      <c r="T20" s="133"/>
      <c r="U20" s="129"/>
      <c r="V20" s="133"/>
      <c r="W20" s="129"/>
    </row>
    <row r="21" spans="1:23" s="141" customFormat="1" ht="24.95" customHeight="1" x14ac:dyDescent="0.2">
      <c r="A21" s="854"/>
      <c r="B21" s="829"/>
      <c r="C21" s="829"/>
      <c r="D21" s="717" t="e">
        <f>VLOOKUP($D$5,ID_list,85,FALSE)</f>
        <v>#N/A</v>
      </c>
      <c r="E21" s="717"/>
      <c r="F21" s="717"/>
      <c r="G21" s="717"/>
      <c r="H21" s="163" t="e">
        <f>IF(EXACT(VLOOKUP($D$5,ID_list,86,FALSE),"Owned"),"X","")</f>
        <v>#N/A</v>
      </c>
      <c r="I21" s="163" t="e">
        <f>IF(EXACT(VLOOKUP($D$5,ID_list,86,FALSE),"Managed"),"X","")</f>
        <v>#N/A</v>
      </c>
      <c r="J21" s="163" t="e">
        <f>IF(EXACT(VLOOKUP($D$5,ID_list,86,FALSE),"Leased"),"X","")</f>
        <v>#N/A</v>
      </c>
      <c r="K21" s="164" t="e">
        <f>IF(EXACT(VLOOKUP($D$5,ID_list,86,FALSE),"N/A"),"X","")</f>
        <v>#N/A</v>
      </c>
      <c r="L21" s="136"/>
      <c r="M21" s="136"/>
      <c r="N21" s="165"/>
      <c r="R21" s="166" t="e">
        <f>IF(LEN(T21)&gt;0,"Owned",IF(LEN(U21)&gt;0,"Managed",IF(LEN(V21)&gt;0,"Leased",IF(LEN(W21)&gt;0,"N/A",""))))</f>
        <v>#N/A</v>
      </c>
      <c r="S21" s="167" t="e">
        <f>R21</f>
        <v>#N/A</v>
      </c>
      <c r="T21" s="130" t="e">
        <f t="shared" ref="T21:V23" si="0">IF(OR(H21=0,ISBLANK(H21)),"",H21)</f>
        <v>#N/A</v>
      </c>
      <c r="U21" s="130" t="e">
        <f t="shared" si="0"/>
        <v>#N/A</v>
      </c>
      <c r="V21" s="130" t="e">
        <f t="shared" si="0"/>
        <v>#N/A</v>
      </c>
      <c r="W21" s="130" t="e">
        <f>IF(OR(K21=0,ISBLANK(K21)),"",K21)</f>
        <v>#N/A</v>
      </c>
    </row>
    <row r="22" spans="1:23" s="141" customFormat="1" ht="24.95" customHeight="1" x14ac:dyDescent="0.2">
      <c r="A22" s="854"/>
      <c r="B22" s="829"/>
      <c r="C22" s="829"/>
      <c r="D22" s="758" t="e">
        <f>VLOOKUP($D$5,ID_list,87,FALSE)</f>
        <v>#N/A</v>
      </c>
      <c r="E22" s="758"/>
      <c r="F22" s="758"/>
      <c r="G22" s="758"/>
      <c r="H22" s="163" t="e">
        <f>IF(EXACT(VLOOKUP($D$5,ID_list,88,FALSE),"Owned"),"X","")</f>
        <v>#N/A</v>
      </c>
      <c r="I22" s="163" t="e">
        <f>IF(EXACT(VLOOKUP($D$5,ID_list,88,FALSE),"Managed"),"X","")</f>
        <v>#N/A</v>
      </c>
      <c r="J22" s="163" t="e">
        <f>IF(EXACT(VLOOKUP($D$5,ID_list,88,FALSE),"Leased"),"X","")</f>
        <v>#N/A</v>
      </c>
      <c r="K22" s="168" t="e">
        <f>IF(EXACT(VLOOKUP($D$5,ID_list,88,FALSE),"N/A"),"X","")</f>
        <v>#N/A</v>
      </c>
      <c r="L22" s="136"/>
      <c r="M22" s="136"/>
      <c r="N22" s="165"/>
      <c r="R22" s="166" t="e">
        <f>IF(LEN(T22)&gt;0,"Owned",IF(LEN(U22)&gt;0,"Managed",IF(LEN(V22)&gt;0,"Leased",IF(LEN(W22)&gt;0,"N/A",""))))</f>
        <v>#N/A</v>
      </c>
      <c r="S22" s="167" t="e">
        <f>R22</f>
        <v>#N/A</v>
      </c>
      <c r="T22" s="130" t="e">
        <f t="shared" si="0"/>
        <v>#N/A</v>
      </c>
      <c r="U22" s="130" t="e">
        <f t="shared" si="0"/>
        <v>#N/A</v>
      </c>
      <c r="V22" s="130" t="e">
        <f t="shared" si="0"/>
        <v>#N/A</v>
      </c>
      <c r="W22" s="130" t="e">
        <f>IF(OR(K22=0,ISBLANK(K22)),"",K22)</f>
        <v>#N/A</v>
      </c>
    </row>
    <row r="23" spans="1:23" s="141" customFormat="1" ht="24.95" customHeight="1" thickBot="1" x14ac:dyDescent="0.25">
      <c r="A23" s="852"/>
      <c r="B23" s="827"/>
      <c r="C23" s="827"/>
      <c r="D23" s="696" t="e">
        <f>VLOOKUP($D$5,ID_list,89,FALSE)</f>
        <v>#N/A</v>
      </c>
      <c r="E23" s="696"/>
      <c r="F23" s="696"/>
      <c r="G23" s="696"/>
      <c r="H23" s="169" t="e">
        <f>IF(EXACT(VLOOKUP($D$5,ID_list,90,FALSE),"Owned"),"X","")</f>
        <v>#N/A</v>
      </c>
      <c r="I23" s="169" t="e">
        <f>IF(EXACT(VLOOKUP($D$5,ID_list,90,FALSE),"Managed"),"X","")</f>
        <v>#N/A</v>
      </c>
      <c r="J23" s="169" t="e">
        <f>IF(EXACT(VLOOKUP($D$5,ID_list,90,FALSE),"Leased"),"X","")</f>
        <v>#N/A</v>
      </c>
      <c r="K23" s="170" t="e">
        <f>IF(EXACT(VLOOKUP($D$5,ID_list,90,FALSE),"N/A"),"X","")</f>
        <v>#N/A</v>
      </c>
      <c r="L23" s="136"/>
      <c r="M23" s="136"/>
      <c r="N23" s="165"/>
      <c r="R23" s="166" t="e">
        <f>IF(LEN(T23)&gt;0,"Owned",IF(LEN(U23)&gt;0,"Managed",IF(LEN(V23)&gt;0,"Leased",IF(LEN(W23)&gt;0,"N/A",""))))</f>
        <v>#N/A</v>
      </c>
      <c r="S23" s="167" t="e">
        <f>R23</f>
        <v>#N/A</v>
      </c>
      <c r="T23" s="130" t="e">
        <f t="shared" si="0"/>
        <v>#N/A</v>
      </c>
      <c r="U23" s="130" t="e">
        <f t="shared" si="0"/>
        <v>#N/A</v>
      </c>
      <c r="V23" s="130" t="e">
        <f t="shared" si="0"/>
        <v>#N/A</v>
      </c>
      <c r="W23" s="130" t="e">
        <f>IF(OR(K23=0,ISBLANK(K23)),"",K23)</f>
        <v>#N/A</v>
      </c>
    </row>
    <row r="24" spans="1:23" ht="24.95" customHeight="1" thickBot="1" x14ac:dyDescent="0.25">
      <c r="A24" s="171"/>
      <c r="B24" s="172"/>
      <c r="C24" s="172"/>
      <c r="D24" s="853" t="s">
        <v>88</v>
      </c>
      <c r="E24" s="829"/>
      <c r="F24" s="829"/>
      <c r="G24" s="829"/>
      <c r="H24" s="682" t="str">
        <f>IF(COUNTBLANK(H21:K21)=4,"Please enter Type of Affiliation.",IF(COUNTBLANK(H21:K21)&lt;&gt;3,"Please VERIFY Type of Affiliation.",""))</f>
        <v>Please VERIFY Type of Affiliation.</v>
      </c>
      <c r="I24" s="682"/>
      <c r="J24" s="682"/>
      <c r="K24" s="682"/>
      <c r="L24" s="136"/>
      <c r="M24" s="136"/>
      <c r="N24" s="136"/>
      <c r="O24" s="141"/>
      <c r="R24" s="133"/>
      <c r="S24" s="129"/>
      <c r="T24" s="133"/>
      <c r="U24" s="129"/>
      <c r="V24" s="133"/>
      <c r="W24" s="129"/>
    </row>
    <row r="25" spans="1:23" ht="24.95" customHeight="1" x14ac:dyDescent="0.2">
      <c r="A25" s="711" t="s">
        <v>252</v>
      </c>
      <c r="B25" s="787"/>
      <c r="C25" s="787"/>
      <c r="D25" s="787"/>
      <c r="E25" s="787"/>
      <c r="F25" s="787"/>
      <c r="G25" s="787"/>
      <c r="H25" s="787"/>
      <c r="I25" s="787"/>
      <c r="J25" s="787"/>
      <c r="K25" s="788"/>
      <c r="R25" s="133"/>
      <c r="S25" s="128"/>
      <c r="T25" s="133"/>
      <c r="U25" s="129"/>
      <c r="V25" s="133"/>
      <c r="W25" s="129"/>
    </row>
    <row r="26" spans="1:23" s="173" customFormat="1" ht="24.95" customHeight="1" x14ac:dyDescent="0.2">
      <c r="A26" s="850" t="s">
        <v>661</v>
      </c>
      <c r="B26" s="851"/>
      <c r="C26" s="851"/>
      <c r="D26" s="851"/>
      <c r="E26" s="851"/>
      <c r="F26" s="851"/>
      <c r="G26" s="851"/>
      <c r="H26" s="851"/>
      <c r="I26" s="851"/>
      <c r="J26" s="851"/>
      <c r="K26" s="830"/>
      <c r="R26" s="157"/>
      <c r="S26" s="128"/>
      <c r="T26" s="133"/>
      <c r="U26" s="129"/>
      <c r="V26" s="133"/>
      <c r="W26" s="129"/>
    </row>
    <row r="27" spans="1:23" s="173" customFormat="1" ht="24.95" customHeight="1" x14ac:dyDescent="0.2">
      <c r="A27" s="843" t="s">
        <v>144</v>
      </c>
      <c r="B27" s="844"/>
      <c r="C27" s="851"/>
      <c r="D27" s="851"/>
      <c r="E27" s="851"/>
      <c r="F27" s="851"/>
      <c r="G27" s="851"/>
      <c r="H27" s="851"/>
      <c r="I27" s="851"/>
      <c r="J27" s="851"/>
      <c r="K27" s="830"/>
      <c r="R27" s="133"/>
      <c r="S27" s="128"/>
      <c r="T27" s="133"/>
      <c r="U27" s="129"/>
      <c r="V27" s="133"/>
      <c r="W27" s="129"/>
    </row>
    <row r="28" spans="1:23" s="173" customFormat="1" ht="24.95" customHeight="1" x14ac:dyDescent="0.2">
      <c r="A28" s="843" t="s">
        <v>145</v>
      </c>
      <c r="B28" s="844"/>
      <c r="C28" s="845"/>
      <c r="D28" s="845"/>
      <c r="E28" s="845"/>
      <c r="F28" s="845"/>
      <c r="G28" s="845"/>
      <c r="H28" s="845"/>
      <c r="I28" s="174" t="s">
        <v>146</v>
      </c>
      <c r="J28" s="795"/>
      <c r="K28" s="796"/>
      <c r="R28" s="133"/>
      <c r="S28" s="128"/>
      <c r="T28" s="133"/>
      <c r="U28" s="129"/>
      <c r="V28" s="133"/>
      <c r="W28" s="129"/>
    </row>
    <row r="29" spans="1:23" ht="24.95" customHeight="1" thickBot="1" x14ac:dyDescent="0.25">
      <c r="A29" s="846" t="s">
        <v>147</v>
      </c>
      <c r="B29" s="847"/>
      <c r="C29" s="848"/>
      <c r="D29" s="848"/>
      <c r="E29" s="848"/>
      <c r="F29" s="848"/>
      <c r="G29" s="848"/>
      <c r="H29" s="848"/>
      <c r="I29" s="848"/>
      <c r="J29" s="848"/>
      <c r="K29" s="849"/>
      <c r="R29" s="133"/>
      <c r="S29" s="128"/>
      <c r="T29" s="133"/>
      <c r="U29" s="129"/>
      <c r="V29" s="133"/>
      <c r="W29" s="129"/>
    </row>
    <row r="30" spans="1:23" ht="24.95" customHeight="1" x14ac:dyDescent="0.2">
      <c r="A30" s="784"/>
      <c r="B30" s="838"/>
      <c r="C30" s="838"/>
      <c r="D30" s="838"/>
      <c r="E30" s="838"/>
      <c r="F30" s="838"/>
      <c r="G30" s="838"/>
      <c r="H30" s="838"/>
      <c r="I30" s="838"/>
      <c r="J30" s="838"/>
      <c r="K30" s="838"/>
      <c r="R30" s="166" t="str">
        <f>IF(LEN(A30)&gt;0,"X","")</f>
        <v/>
      </c>
      <c r="S30" s="128"/>
      <c r="T30" s="133"/>
      <c r="U30" s="129"/>
      <c r="V30" s="133"/>
      <c r="W30" s="129"/>
    </row>
    <row r="31" spans="1:23" ht="24.95" customHeight="1" x14ac:dyDescent="0.2">
      <c r="A31" s="759" t="str">
        <f>IF(R30="X","Capital Expenditure Sections 13 and 14","")</f>
        <v/>
      </c>
      <c r="B31" s="842"/>
      <c r="C31" s="842"/>
      <c r="D31" s="842"/>
      <c r="E31" s="842"/>
      <c r="F31" s="759" t="str">
        <f>IF(R30="X","Capital Expenditure Project Specific Tab","")</f>
        <v/>
      </c>
      <c r="G31" s="759"/>
      <c r="H31" s="759"/>
      <c r="I31" s="759"/>
      <c r="J31" s="759"/>
      <c r="K31" s="759"/>
      <c r="L31" s="173"/>
      <c r="R31" s="133"/>
      <c r="S31" s="128"/>
      <c r="T31" s="133"/>
      <c r="U31" s="129"/>
      <c r="V31" s="133"/>
      <c r="W31" s="129"/>
    </row>
    <row r="32" spans="1:23" s="180" customFormat="1" ht="24.95" customHeight="1" thickBot="1" x14ac:dyDescent="0.25">
      <c r="A32" s="175" t="e">
        <f>CONCATENATE(D$5," ",(UPPER(D$6)))</f>
        <v>#N/A</v>
      </c>
      <c r="B32" s="176"/>
      <c r="C32" s="177"/>
      <c r="D32" s="177"/>
      <c r="E32" s="177"/>
      <c r="F32" s="177"/>
      <c r="G32" s="177"/>
      <c r="H32" s="177"/>
      <c r="I32" s="177"/>
      <c r="J32" s="177"/>
      <c r="K32" s="177"/>
      <c r="L32" s="178"/>
      <c r="M32" s="165"/>
      <c r="N32" s="179"/>
      <c r="O32" s="165"/>
      <c r="R32" s="133"/>
      <c r="S32" s="128"/>
      <c r="T32" s="133"/>
      <c r="U32" s="129"/>
      <c r="V32" s="133"/>
      <c r="W32" s="129"/>
    </row>
    <row r="33" spans="1:23" s="180" customFormat="1" ht="24.95" customHeight="1" x14ac:dyDescent="0.2">
      <c r="A33" s="839" t="s">
        <v>256</v>
      </c>
      <c r="B33" s="840"/>
      <c r="C33" s="840"/>
      <c r="D33" s="840"/>
      <c r="E33" s="840"/>
      <c r="F33" s="840"/>
      <c r="G33" s="840"/>
      <c r="H33" s="840"/>
      <c r="I33" s="840"/>
      <c r="J33" s="840"/>
      <c r="K33" s="841"/>
      <c r="L33" s="178"/>
      <c r="M33" s="165"/>
      <c r="N33" s="179"/>
      <c r="O33" s="165"/>
      <c r="R33" s="133"/>
      <c r="S33" s="128"/>
      <c r="T33" s="133"/>
      <c r="U33" s="129"/>
      <c r="V33" s="133"/>
      <c r="W33" s="129"/>
    </row>
    <row r="34" spans="1:23" s="180" customFormat="1" ht="24.95" customHeight="1" x14ac:dyDescent="0.2">
      <c r="A34" s="832" t="s">
        <v>257</v>
      </c>
      <c r="B34" s="833"/>
      <c r="C34" s="833"/>
      <c r="D34" s="833"/>
      <c r="E34" s="833"/>
      <c r="F34" s="833"/>
      <c r="G34" s="833"/>
      <c r="H34" s="833"/>
      <c r="I34" s="836"/>
      <c r="J34" s="836"/>
      <c r="K34" s="837"/>
      <c r="L34" s="178"/>
      <c r="M34" s="165"/>
      <c r="N34" s="179"/>
      <c r="O34" s="165"/>
      <c r="R34" s="166" t="s">
        <v>302</v>
      </c>
      <c r="S34" s="181" t="e">
        <f>VLOOKUP($D$5,ID_list,93,FALSE)</f>
        <v>#N/A</v>
      </c>
      <c r="T34" s="133"/>
      <c r="U34" s="129"/>
      <c r="V34" s="133"/>
      <c r="W34" s="129"/>
    </row>
    <row r="35" spans="1:23" s="180" customFormat="1" ht="24.95" customHeight="1" x14ac:dyDescent="0.2">
      <c r="A35" s="828" t="s">
        <v>183</v>
      </c>
      <c r="B35" s="829"/>
      <c r="C35" s="829"/>
      <c r="D35" s="640" t="e">
        <f>CONCATENATE(VLOOKUP($D$5,ID_list,24,FALSE)," ",VLOOKUP($D$5,ID_list,25,FALSE))</f>
        <v>#N/A</v>
      </c>
      <c r="E35" s="640"/>
      <c r="F35" s="640"/>
      <c r="G35" s="640"/>
      <c r="H35" s="182" t="s">
        <v>138</v>
      </c>
      <c r="I35" s="640" t="e">
        <f>VLOOKUP($D$5,ID_list,26,FALSE)</f>
        <v>#N/A</v>
      </c>
      <c r="J35" s="663"/>
      <c r="K35" s="664"/>
      <c r="L35" s="675"/>
      <c r="M35" s="589"/>
      <c r="N35" s="589"/>
      <c r="O35" s="589"/>
      <c r="R35" s="133"/>
      <c r="S35" s="128"/>
      <c r="T35" s="133"/>
      <c r="U35" s="129"/>
      <c r="V35" s="133"/>
      <c r="W35" s="129"/>
    </row>
    <row r="36" spans="1:23" s="180" customFormat="1" ht="24.95" customHeight="1" x14ac:dyDescent="0.2">
      <c r="A36" s="828" t="s">
        <v>258</v>
      </c>
      <c r="B36" s="829"/>
      <c r="C36" s="829"/>
      <c r="D36" s="650" t="e">
        <f>VLOOKUP($D$5,ID_list,27,FALSE)</f>
        <v>#N/A</v>
      </c>
      <c r="E36" s="650"/>
      <c r="F36" s="650"/>
      <c r="G36" s="650"/>
      <c r="H36" s="183"/>
      <c r="I36" s="184"/>
      <c r="J36" s="185"/>
      <c r="K36" s="186"/>
      <c r="L36" s="684" t="s">
        <v>105</v>
      </c>
      <c r="M36" s="685"/>
      <c r="N36" s="685"/>
      <c r="O36" s="685"/>
      <c r="R36" s="133"/>
      <c r="S36" s="128"/>
      <c r="T36" s="133"/>
      <c r="U36" s="129"/>
      <c r="V36" s="133"/>
      <c r="W36" s="129"/>
    </row>
    <row r="37" spans="1:23" s="180" customFormat="1" ht="24.95" customHeight="1" x14ac:dyDescent="0.2">
      <c r="A37" s="828" t="s">
        <v>127</v>
      </c>
      <c r="B37" s="829"/>
      <c r="C37" s="829"/>
      <c r="D37" s="640" t="e">
        <f>CONCATENATE(VLOOKUP($D$5,ID_list,32,FALSE)," ",VLOOKUP($D$5,ID_list,33,FALSE))</f>
        <v>#N/A</v>
      </c>
      <c r="E37" s="640"/>
      <c r="F37" s="640"/>
      <c r="G37" s="640"/>
      <c r="H37" s="187" t="s">
        <v>55</v>
      </c>
      <c r="I37" s="649" t="e">
        <f>VLOOKUP($D$5,ID_list,31,FALSE)</f>
        <v>#N/A</v>
      </c>
      <c r="J37" s="650"/>
      <c r="K37" s="830"/>
      <c r="L37" s="632" t="s">
        <v>102</v>
      </c>
      <c r="M37" s="633"/>
      <c r="N37" s="633"/>
      <c r="O37" s="633"/>
      <c r="R37" s="133"/>
      <c r="S37" s="128"/>
      <c r="T37" s="133"/>
      <c r="U37" s="129"/>
      <c r="V37" s="133"/>
      <c r="W37" s="129"/>
    </row>
    <row r="38" spans="1:23" s="180" customFormat="1" ht="24.95" customHeight="1" x14ac:dyDescent="0.2">
      <c r="A38" s="828" t="s">
        <v>128</v>
      </c>
      <c r="B38" s="829"/>
      <c r="C38" s="829"/>
      <c r="D38" s="650" t="e">
        <f>VLOOKUP($D$5,ID_list,34,FALSE)</f>
        <v>#N/A</v>
      </c>
      <c r="E38" s="650"/>
      <c r="F38" s="650"/>
      <c r="G38" s="650"/>
      <c r="H38" s="182" t="s">
        <v>139</v>
      </c>
      <c r="I38" s="801" t="e">
        <f>VLOOKUP($D$5,ID_list,28,FALSE)</f>
        <v>#N/A</v>
      </c>
      <c r="J38" s="802"/>
      <c r="K38" s="831"/>
      <c r="L38" s="632" t="s">
        <v>103</v>
      </c>
      <c r="M38" s="633"/>
      <c r="N38" s="633"/>
      <c r="O38" s="633"/>
      <c r="R38" s="133"/>
      <c r="S38" s="128"/>
      <c r="T38" s="133"/>
      <c r="U38" s="129"/>
      <c r="V38" s="133"/>
      <c r="W38" s="129"/>
    </row>
    <row r="39" spans="1:23" s="180" customFormat="1" ht="24.95" customHeight="1" x14ac:dyDescent="0.2">
      <c r="A39" s="828" t="s">
        <v>135</v>
      </c>
      <c r="B39" s="829"/>
      <c r="C39" s="829"/>
      <c r="D39" s="650" t="e">
        <f>VLOOKUP($D$5,ID_list,35,FALSE)</f>
        <v>#N/A</v>
      </c>
      <c r="E39" s="650"/>
      <c r="F39" s="650"/>
      <c r="G39" s="650"/>
      <c r="H39" s="188" t="s">
        <v>212</v>
      </c>
      <c r="I39" s="646" t="e">
        <f>VLOOKUP($D$5,ID_list,29,FALSE)</f>
        <v>#N/A</v>
      </c>
      <c r="J39" s="647"/>
      <c r="K39" s="648"/>
      <c r="L39" s="632" t="s">
        <v>104</v>
      </c>
      <c r="M39" s="633"/>
      <c r="N39" s="633"/>
      <c r="O39" s="633"/>
      <c r="R39" s="133"/>
      <c r="S39" s="128"/>
      <c r="T39" s="133"/>
      <c r="U39" s="129"/>
      <c r="V39" s="133"/>
      <c r="W39" s="129"/>
    </row>
    <row r="40" spans="1:23" s="180" customFormat="1" ht="24.95" customHeight="1" x14ac:dyDescent="0.2">
      <c r="A40" s="828" t="s">
        <v>136</v>
      </c>
      <c r="B40" s="829"/>
      <c r="C40" s="829"/>
      <c r="D40" s="644" t="e">
        <f>VLOOKUP($D$5,ID_list,36,FALSE)</f>
        <v>#N/A</v>
      </c>
      <c r="E40" s="644"/>
      <c r="F40" s="644"/>
      <c r="G40" s="644"/>
      <c r="H40" s="188" t="s">
        <v>131</v>
      </c>
      <c r="I40" s="646" t="e">
        <f>VLOOKUP($D$5,ID_list,30,FALSE)</f>
        <v>#N/A</v>
      </c>
      <c r="J40" s="647"/>
      <c r="K40" s="648"/>
      <c r="L40" s="156"/>
      <c r="M40" s="156"/>
      <c r="N40" s="155"/>
      <c r="O40" s="155"/>
      <c r="R40" s="133"/>
      <c r="S40" s="128"/>
      <c r="T40" s="133"/>
      <c r="U40" s="129"/>
      <c r="V40" s="133"/>
      <c r="W40" s="129"/>
    </row>
    <row r="41" spans="1:23" s="180" customFormat="1" ht="24.95" customHeight="1" x14ac:dyDescent="0.2">
      <c r="A41" s="828" t="s">
        <v>129</v>
      </c>
      <c r="B41" s="829"/>
      <c r="C41" s="829"/>
      <c r="D41" s="644" t="e">
        <f>CONCATENATE(VLOOKUP($D$5,ID_list,37,FALSE),"-",VLOOKUP($D$5,ID_list,38,FALSE))</f>
        <v>#N/A</v>
      </c>
      <c r="E41" s="644"/>
      <c r="F41" s="644"/>
      <c r="G41" s="644"/>
      <c r="H41" s="189"/>
      <c r="I41" s="189"/>
      <c r="J41" s="189"/>
      <c r="K41" s="190"/>
      <c r="L41" s="161"/>
      <c r="M41" s="162"/>
      <c r="N41" s="162"/>
      <c r="O41" s="136"/>
      <c r="R41" s="133"/>
      <c r="S41" s="128"/>
      <c r="T41" s="133"/>
      <c r="U41" s="129"/>
      <c r="V41" s="133"/>
      <c r="W41" s="129"/>
    </row>
    <row r="42" spans="1:23" s="180" customFormat="1" ht="24.95" customHeight="1" x14ac:dyDescent="0.2">
      <c r="A42" s="832" t="s">
        <v>259</v>
      </c>
      <c r="B42" s="833"/>
      <c r="C42" s="833"/>
      <c r="D42" s="833"/>
      <c r="E42" s="833"/>
      <c r="F42" s="833"/>
      <c r="G42" s="833"/>
      <c r="H42" s="833"/>
      <c r="I42" s="836"/>
      <c r="J42" s="836"/>
      <c r="K42" s="837"/>
      <c r="L42" s="178"/>
      <c r="M42" s="165"/>
      <c r="N42" s="179"/>
      <c r="O42" s="165"/>
      <c r="R42" s="166" t="s">
        <v>303</v>
      </c>
      <c r="S42" s="181" t="e">
        <f>VLOOKUP($D$5,ID_list,94,FALSE)</f>
        <v>#N/A</v>
      </c>
      <c r="T42" s="133"/>
      <c r="U42" s="129"/>
      <c r="V42" s="133"/>
      <c r="W42" s="129"/>
    </row>
    <row r="43" spans="1:23" s="180" customFormat="1" ht="24.95" customHeight="1" x14ac:dyDescent="0.2">
      <c r="A43" s="828" t="s">
        <v>260</v>
      </c>
      <c r="B43" s="829"/>
      <c r="C43" s="829"/>
      <c r="D43" s="640" t="e">
        <f>CONCATENATE(VLOOKUP($D$5,ID_list,39,FALSE)," ",VLOOKUP($D$5,ID_list,40,FALSE))</f>
        <v>#N/A</v>
      </c>
      <c r="E43" s="640"/>
      <c r="F43" s="640"/>
      <c r="G43" s="640"/>
      <c r="H43" s="182" t="s">
        <v>138</v>
      </c>
      <c r="I43" s="640" t="e">
        <f>VLOOKUP($D$5,ID_list,41,FALSE)</f>
        <v>#N/A</v>
      </c>
      <c r="J43" s="663"/>
      <c r="K43" s="664"/>
      <c r="L43" s="178"/>
      <c r="M43" s="165"/>
      <c r="N43" s="179"/>
      <c r="O43" s="165"/>
      <c r="R43" s="133"/>
      <c r="S43" s="128"/>
      <c r="T43" s="133"/>
      <c r="U43" s="129"/>
      <c r="V43" s="133"/>
      <c r="W43" s="129"/>
    </row>
    <row r="44" spans="1:23" s="180" customFormat="1" ht="24.95" customHeight="1" x14ac:dyDescent="0.2">
      <c r="A44" s="828" t="s">
        <v>258</v>
      </c>
      <c r="B44" s="829"/>
      <c r="C44" s="829"/>
      <c r="D44" s="640" t="e">
        <f>VLOOKUP($D$5,ID_list,42,FALSE)</f>
        <v>#N/A</v>
      </c>
      <c r="E44" s="640"/>
      <c r="F44" s="640"/>
      <c r="G44" s="640"/>
      <c r="H44" s="183"/>
      <c r="I44" s="184"/>
      <c r="J44" s="185"/>
      <c r="K44" s="186"/>
      <c r="L44" s="178"/>
      <c r="M44" s="165"/>
      <c r="N44" s="179"/>
      <c r="O44" s="165"/>
      <c r="R44" s="133"/>
      <c r="S44" s="128"/>
      <c r="T44" s="133"/>
      <c r="U44" s="129"/>
      <c r="V44" s="133"/>
      <c r="W44" s="129"/>
    </row>
    <row r="45" spans="1:23" s="180" customFormat="1" ht="24.95" customHeight="1" x14ac:dyDescent="0.2">
      <c r="A45" s="828" t="s">
        <v>127</v>
      </c>
      <c r="B45" s="829"/>
      <c r="C45" s="829"/>
      <c r="D45" s="640" t="e">
        <f>CONCATENATE(VLOOKUP($D$5,ID_list,47,FALSE)," ",VLOOKUP($D$5,ID_list,48,FALSE))</f>
        <v>#N/A</v>
      </c>
      <c r="E45" s="640"/>
      <c r="F45" s="640"/>
      <c r="G45" s="640"/>
      <c r="H45" s="187" t="s">
        <v>55</v>
      </c>
      <c r="I45" s="649" t="e">
        <f>VLOOKUP($D$5,ID_list,46,FALSE)</f>
        <v>#N/A</v>
      </c>
      <c r="J45" s="650"/>
      <c r="K45" s="830"/>
      <c r="L45" s="178"/>
      <c r="M45" s="165"/>
      <c r="N45" s="179"/>
      <c r="O45" s="165"/>
      <c r="R45" s="133"/>
      <c r="S45" s="128"/>
      <c r="T45" s="133"/>
      <c r="U45" s="129"/>
      <c r="V45" s="133"/>
      <c r="W45" s="129"/>
    </row>
    <row r="46" spans="1:23" s="180" customFormat="1" ht="24.95" customHeight="1" x14ac:dyDescent="0.2">
      <c r="A46" s="828" t="s">
        <v>261</v>
      </c>
      <c r="B46" s="829"/>
      <c r="C46" s="829"/>
      <c r="D46" s="650" t="e">
        <f>VLOOKUP($D$5,ID_list,49,FALSE)</f>
        <v>#N/A</v>
      </c>
      <c r="E46" s="650"/>
      <c r="F46" s="650"/>
      <c r="G46" s="650"/>
      <c r="H46" s="182" t="s">
        <v>139</v>
      </c>
      <c r="I46" s="801" t="e">
        <f>VLOOKUP($D$5,ID_list,43,FALSE)</f>
        <v>#N/A</v>
      </c>
      <c r="J46" s="802"/>
      <c r="K46" s="831"/>
      <c r="L46" s="178"/>
      <c r="M46" s="165"/>
      <c r="N46" s="179"/>
      <c r="O46" s="165"/>
      <c r="R46" s="133"/>
      <c r="S46" s="128"/>
      <c r="T46" s="133"/>
      <c r="U46" s="129"/>
      <c r="V46" s="133"/>
      <c r="W46" s="129"/>
    </row>
    <row r="47" spans="1:23" s="180" customFormat="1" ht="24.95" customHeight="1" x14ac:dyDescent="0.2">
      <c r="A47" s="828" t="s">
        <v>135</v>
      </c>
      <c r="B47" s="829"/>
      <c r="C47" s="829"/>
      <c r="D47" s="650" t="e">
        <f>VLOOKUP($D$5,ID_list,50,FALSE)</f>
        <v>#N/A</v>
      </c>
      <c r="E47" s="650"/>
      <c r="F47" s="650"/>
      <c r="G47" s="650"/>
      <c r="H47" s="188" t="s">
        <v>212</v>
      </c>
      <c r="I47" s="646" t="e">
        <f>VLOOKUP($D$5,ID_list,44,FALSE)</f>
        <v>#N/A</v>
      </c>
      <c r="J47" s="647"/>
      <c r="K47" s="648"/>
      <c r="L47" s="178"/>
      <c r="M47" s="165"/>
      <c r="N47" s="179"/>
      <c r="O47" s="165"/>
      <c r="R47" s="133"/>
      <c r="S47" s="128"/>
      <c r="T47" s="133"/>
      <c r="U47" s="129"/>
      <c r="V47" s="133"/>
      <c r="W47" s="129"/>
    </row>
    <row r="48" spans="1:23" s="180" customFormat="1" ht="24.95" customHeight="1" x14ac:dyDescent="0.2">
      <c r="A48" s="828" t="s">
        <v>136</v>
      </c>
      <c r="B48" s="829"/>
      <c r="C48" s="829"/>
      <c r="D48" s="650" t="e">
        <f>VLOOKUP($D$5,ID_list,51,FALSE)</f>
        <v>#N/A</v>
      </c>
      <c r="E48" s="650"/>
      <c r="F48" s="650"/>
      <c r="G48" s="650"/>
      <c r="H48" s="188" t="s">
        <v>131</v>
      </c>
      <c r="I48" s="646" t="e">
        <f>VLOOKUP($D$5,ID_list,45,FALSE)</f>
        <v>#N/A</v>
      </c>
      <c r="J48" s="647"/>
      <c r="K48" s="648"/>
      <c r="L48" s="178"/>
      <c r="M48" s="165"/>
      <c r="N48" s="179"/>
      <c r="O48" s="165"/>
      <c r="R48" s="133"/>
      <c r="S48" s="128"/>
      <c r="T48" s="133"/>
      <c r="U48" s="129"/>
      <c r="V48" s="133"/>
      <c r="W48" s="129"/>
    </row>
    <row r="49" spans="1:23" s="180" customFormat="1" ht="24.95" customHeight="1" x14ac:dyDescent="0.2">
      <c r="A49" s="828" t="s">
        <v>129</v>
      </c>
      <c r="B49" s="829"/>
      <c r="C49" s="829"/>
      <c r="D49" s="644" t="e">
        <f>CONCATENATE(VLOOKUP($D$5,ID_list,52,FALSE),"-",VLOOKUP($D$5,ID_list,53,FALSE))</f>
        <v>#N/A</v>
      </c>
      <c r="E49" s="644"/>
      <c r="F49" s="644"/>
      <c r="G49" s="644"/>
      <c r="H49" s="189"/>
      <c r="I49" s="189"/>
      <c r="J49" s="189"/>
      <c r="K49" s="190"/>
      <c r="L49" s="178"/>
      <c r="M49" s="165"/>
      <c r="N49" s="179"/>
      <c r="O49" s="165"/>
      <c r="R49" s="133"/>
      <c r="S49" s="128"/>
      <c r="T49" s="133"/>
      <c r="U49" s="129"/>
      <c r="V49" s="133"/>
      <c r="W49" s="129"/>
    </row>
    <row r="50" spans="1:23" s="180" customFormat="1" ht="24.95" customHeight="1" x14ac:dyDescent="0.2">
      <c r="A50" s="832" t="s">
        <v>262</v>
      </c>
      <c r="B50" s="833"/>
      <c r="C50" s="833"/>
      <c r="D50" s="833"/>
      <c r="E50" s="833"/>
      <c r="F50" s="833"/>
      <c r="G50" s="833"/>
      <c r="H50" s="833"/>
      <c r="I50" s="836"/>
      <c r="J50" s="836"/>
      <c r="K50" s="837"/>
      <c r="L50" s="178"/>
      <c r="M50" s="165"/>
      <c r="N50" s="179"/>
      <c r="O50" s="165"/>
      <c r="R50" s="166" t="s">
        <v>304</v>
      </c>
      <c r="S50" s="181" t="e">
        <f>VLOOKUP($D$5,ID_list,95,FALSE)</f>
        <v>#N/A</v>
      </c>
      <c r="T50" s="133"/>
      <c r="U50" s="129"/>
      <c r="V50" s="133"/>
      <c r="W50" s="129"/>
    </row>
    <row r="51" spans="1:23" s="180" customFormat="1" ht="24.95" customHeight="1" x14ac:dyDescent="0.2">
      <c r="A51" s="828" t="s">
        <v>260</v>
      </c>
      <c r="B51" s="829"/>
      <c r="C51" s="829"/>
      <c r="D51" s="640" t="e">
        <f>CONCATENATE(VLOOKUP($D$5,ID_list,54,FALSE)," ",VLOOKUP($D$5,ID_list,55,FALSE))</f>
        <v>#N/A</v>
      </c>
      <c r="E51" s="640"/>
      <c r="F51" s="640"/>
      <c r="G51" s="640"/>
      <c r="H51" s="182" t="s">
        <v>138</v>
      </c>
      <c r="I51" s="640" t="e">
        <f>VLOOKUP($D$5,ID_list,56,FALSE)</f>
        <v>#N/A</v>
      </c>
      <c r="J51" s="663"/>
      <c r="K51" s="664"/>
      <c r="L51" s="178"/>
      <c r="M51" s="165"/>
      <c r="N51" s="179"/>
      <c r="O51" s="165"/>
      <c r="R51" s="133"/>
      <c r="S51" s="128"/>
      <c r="T51" s="133"/>
      <c r="U51" s="129"/>
      <c r="V51" s="133"/>
      <c r="W51" s="129"/>
    </row>
    <row r="52" spans="1:23" s="180" customFormat="1" ht="24.95" customHeight="1" x14ac:dyDescent="0.2">
      <c r="A52" s="828" t="s">
        <v>258</v>
      </c>
      <c r="B52" s="829"/>
      <c r="C52" s="829"/>
      <c r="D52" s="650" t="e">
        <f>VLOOKUP($D$5,ID_list,57,FALSE)</f>
        <v>#N/A</v>
      </c>
      <c r="E52" s="650"/>
      <c r="F52" s="650"/>
      <c r="G52" s="650"/>
      <c r="H52" s="183"/>
      <c r="I52" s="184"/>
      <c r="J52" s="185"/>
      <c r="K52" s="186"/>
      <c r="L52" s="178"/>
      <c r="M52" s="165"/>
      <c r="N52" s="179"/>
      <c r="O52" s="165"/>
      <c r="R52" s="133"/>
      <c r="S52" s="128"/>
      <c r="T52" s="133"/>
      <c r="U52" s="129"/>
      <c r="V52" s="133"/>
      <c r="W52" s="129"/>
    </row>
    <row r="53" spans="1:23" s="180" customFormat="1" ht="24.95" customHeight="1" x14ac:dyDescent="0.2">
      <c r="A53" s="828" t="s">
        <v>127</v>
      </c>
      <c r="B53" s="829"/>
      <c r="C53" s="829"/>
      <c r="D53" s="640" t="e">
        <f>CONCATENATE(VLOOKUP($D$5,ID_list,62,FALSE)," ",VLOOKUP($D$5,ID_list,63,FALSE))</f>
        <v>#N/A</v>
      </c>
      <c r="E53" s="640"/>
      <c r="F53" s="640"/>
      <c r="G53" s="640"/>
      <c r="H53" s="187" t="s">
        <v>55</v>
      </c>
      <c r="I53" s="649" t="e">
        <f>VLOOKUP($D$5,ID_list,61,FALSE)</f>
        <v>#N/A</v>
      </c>
      <c r="J53" s="650"/>
      <c r="K53" s="830"/>
      <c r="L53" s="178"/>
      <c r="M53" s="165"/>
      <c r="N53" s="179"/>
      <c r="O53" s="165"/>
      <c r="R53" s="133"/>
      <c r="S53" s="128"/>
      <c r="T53" s="133"/>
      <c r="U53" s="129"/>
      <c r="V53" s="133"/>
      <c r="W53" s="129"/>
    </row>
    <row r="54" spans="1:23" s="180" customFormat="1" ht="24.95" customHeight="1" x14ac:dyDescent="0.2">
      <c r="A54" s="828" t="s">
        <v>261</v>
      </c>
      <c r="B54" s="829"/>
      <c r="C54" s="829"/>
      <c r="D54" s="650" t="e">
        <f>VLOOKUP($D$5,ID_list,64,FALSE)</f>
        <v>#N/A</v>
      </c>
      <c r="E54" s="650"/>
      <c r="F54" s="650"/>
      <c r="G54" s="650"/>
      <c r="H54" s="182" t="s">
        <v>139</v>
      </c>
      <c r="I54" s="801" t="e">
        <f>VLOOKUP($D$5,ID_list,58,FALSE)</f>
        <v>#N/A</v>
      </c>
      <c r="J54" s="802"/>
      <c r="K54" s="831"/>
      <c r="L54" s="178"/>
      <c r="M54" s="165"/>
      <c r="N54" s="179"/>
      <c r="O54" s="165"/>
      <c r="R54" s="133"/>
      <c r="S54" s="128"/>
      <c r="T54" s="133"/>
      <c r="U54" s="129"/>
      <c r="V54" s="133"/>
      <c r="W54" s="129"/>
    </row>
    <row r="55" spans="1:23" s="180" customFormat="1" ht="24.95" customHeight="1" x14ac:dyDescent="0.2">
      <c r="A55" s="828" t="s">
        <v>135</v>
      </c>
      <c r="B55" s="829"/>
      <c r="C55" s="829"/>
      <c r="D55" s="650" t="e">
        <f>VLOOKUP($D$5,ID_list,65,FALSE)</f>
        <v>#N/A</v>
      </c>
      <c r="E55" s="650"/>
      <c r="F55" s="650"/>
      <c r="G55" s="650"/>
      <c r="H55" s="188" t="s">
        <v>212</v>
      </c>
      <c r="I55" s="646" t="e">
        <f>VLOOKUP($D$5,ID_list,59,FALSE)</f>
        <v>#N/A</v>
      </c>
      <c r="J55" s="647"/>
      <c r="K55" s="648"/>
      <c r="L55" s="191"/>
      <c r="M55" s="165"/>
      <c r="N55" s="179"/>
      <c r="O55" s="165"/>
      <c r="R55" s="133"/>
      <c r="S55" s="128"/>
      <c r="T55" s="133"/>
      <c r="U55" s="129"/>
      <c r="V55" s="133"/>
      <c r="W55" s="129"/>
    </row>
    <row r="56" spans="1:23" s="180" customFormat="1" ht="24.95" customHeight="1" x14ac:dyDescent="0.2">
      <c r="A56" s="828" t="s">
        <v>136</v>
      </c>
      <c r="B56" s="829"/>
      <c r="C56" s="829"/>
      <c r="D56" s="650" t="e">
        <f>VLOOKUP($D$5,ID_list,66,FALSE)</f>
        <v>#N/A</v>
      </c>
      <c r="E56" s="650"/>
      <c r="F56" s="650"/>
      <c r="G56" s="650"/>
      <c r="H56" s="188" t="s">
        <v>131</v>
      </c>
      <c r="I56" s="646" t="e">
        <f>VLOOKUP($D$5,ID_list,60,FALSE)</f>
        <v>#N/A</v>
      </c>
      <c r="J56" s="647"/>
      <c r="K56" s="648"/>
      <c r="L56" s="178"/>
      <c r="M56" s="165"/>
      <c r="N56" s="179"/>
      <c r="O56" s="165"/>
      <c r="R56" s="133"/>
      <c r="S56" s="128"/>
      <c r="T56" s="133"/>
      <c r="U56" s="129"/>
      <c r="V56" s="133"/>
      <c r="W56" s="129"/>
    </row>
    <row r="57" spans="1:23" s="180" customFormat="1" ht="24.95" customHeight="1" x14ac:dyDescent="0.2">
      <c r="A57" s="828" t="s">
        <v>129</v>
      </c>
      <c r="B57" s="829"/>
      <c r="C57" s="829"/>
      <c r="D57" s="644" t="e">
        <f>CONCATENATE(VLOOKUP($D$5,ID_list,67,FALSE),"-",VLOOKUP($D$5,ID_list,68,FALSE))</f>
        <v>#N/A</v>
      </c>
      <c r="E57" s="644"/>
      <c r="F57" s="644"/>
      <c r="G57" s="644"/>
      <c r="H57" s="189"/>
      <c r="I57" s="189"/>
      <c r="J57" s="189"/>
      <c r="K57" s="190"/>
      <c r="M57" s="165"/>
      <c r="N57" s="179"/>
      <c r="O57" s="165"/>
      <c r="R57" s="133"/>
      <c r="S57" s="128"/>
      <c r="T57" s="133"/>
      <c r="U57" s="129"/>
      <c r="V57" s="133"/>
      <c r="W57" s="129"/>
    </row>
    <row r="58" spans="1:23" s="180" customFormat="1" ht="24.95" customHeight="1" x14ac:dyDescent="0.2">
      <c r="A58" s="832" t="s">
        <v>115</v>
      </c>
      <c r="B58" s="833"/>
      <c r="C58" s="833"/>
      <c r="D58" s="833"/>
      <c r="E58" s="833"/>
      <c r="F58" s="833"/>
      <c r="G58" s="833"/>
      <c r="H58" s="833"/>
      <c r="I58" s="834"/>
      <c r="J58" s="834"/>
      <c r="K58" s="835"/>
      <c r="R58" s="166" t="s">
        <v>305</v>
      </c>
      <c r="S58" s="181" t="e">
        <f>VLOOKUP($D$5,ID_list,96,FALSE)</f>
        <v>#N/A</v>
      </c>
      <c r="T58" s="133"/>
      <c r="U58" s="129"/>
      <c r="V58" s="133"/>
      <c r="W58" s="129"/>
    </row>
    <row r="59" spans="1:23" s="180" customFormat="1" ht="24.95" customHeight="1" x14ac:dyDescent="0.2">
      <c r="A59" s="828" t="s">
        <v>182</v>
      </c>
      <c r="B59" s="829"/>
      <c r="C59" s="829"/>
      <c r="D59" s="640" t="e">
        <f>CONCATENATE(VLOOKUP($D$5,ID_list,69,FALSE)," ",VLOOKUP($D$5,ID_list,70,FALSE))</f>
        <v>#N/A</v>
      </c>
      <c r="E59" s="640"/>
      <c r="F59" s="640"/>
      <c r="G59" s="640"/>
      <c r="H59" s="182" t="s">
        <v>138</v>
      </c>
      <c r="I59" s="640" t="e">
        <f>VLOOKUP($D$5,ID_list,71,FALSE)</f>
        <v>#N/A</v>
      </c>
      <c r="J59" s="663"/>
      <c r="K59" s="664"/>
      <c r="L59" s="763" t="str">
        <f>IF(LEN('Capital Expenditures'!J5)&gt;0,"Capital Expenditure Reporting Section","")</f>
        <v/>
      </c>
      <c r="M59" s="764"/>
      <c r="N59" s="764"/>
      <c r="O59" s="764"/>
      <c r="R59" s="133"/>
      <c r="S59" s="128"/>
      <c r="T59" s="133"/>
      <c r="U59" s="129"/>
      <c r="V59" s="133"/>
      <c r="W59" s="129"/>
    </row>
    <row r="60" spans="1:23" s="180" customFormat="1" ht="24.95" customHeight="1" x14ac:dyDescent="0.2">
      <c r="A60" s="828" t="s">
        <v>258</v>
      </c>
      <c r="B60" s="829"/>
      <c r="C60" s="829"/>
      <c r="D60" s="650" t="e">
        <f>VLOOKUP($D$5,ID_list,72,FALSE)</f>
        <v>#N/A</v>
      </c>
      <c r="E60" s="650"/>
      <c r="F60" s="650"/>
      <c r="G60" s="650"/>
      <c r="H60" s="183"/>
      <c r="I60" s="184"/>
      <c r="J60" s="185"/>
      <c r="K60" s="186"/>
      <c r="L60" s="665" t="str">
        <f>IF(NOT(ISBLANK('Capital Expenditures'!J5)),"Capital Expenditure Project Specific Tab","")</f>
        <v/>
      </c>
      <c r="M60" s="665"/>
      <c r="N60" s="665"/>
      <c r="O60" s="665"/>
      <c r="P60" s="666"/>
      <c r="R60" s="133"/>
      <c r="S60" s="128"/>
      <c r="T60" s="133"/>
      <c r="U60" s="129"/>
      <c r="V60" s="133"/>
      <c r="W60" s="129"/>
    </row>
    <row r="61" spans="1:23" s="180" customFormat="1" ht="24.95" customHeight="1" x14ac:dyDescent="0.2">
      <c r="A61" s="828" t="s">
        <v>127</v>
      </c>
      <c r="B61" s="829"/>
      <c r="C61" s="829"/>
      <c r="D61" s="640" t="e">
        <f>CONCATENATE(VLOOKUP($D$5,ID_list,77,FALSE)," ",VLOOKUP($D$5,ID_list,78,FALSE))</f>
        <v>#N/A</v>
      </c>
      <c r="E61" s="640"/>
      <c r="F61" s="640"/>
      <c r="G61" s="640"/>
      <c r="H61" s="187" t="s">
        <v>55</v>
      </c>
      <c r="I61" s="649" t="e">
        <f>VLOOKUP($D$5,ID_list,76,FALSE)</f>
        <v>#N/A</v>
      </c>
      <c r="J61" s="650"/>
      <c r="K61" s="830"/>
      <c r="R61" s="133"/>
      <c r="S61" s="128"/>
      <c r="T61" s="133"/>
      <c r="U61" s="129"/>
      <c r="V61" s="133"/>
      <c r="W61" s="129"/>
    </row>
    <row r="62" spans="1:23" s="180" customFormat="1" ht="24.95" customHeight="1" x14ac:dyDescent="0.2">
      <c r="A62" s="828" t="s">
        <v>261</v>
      </c>
      <c r="B62" s="829"/>
      <c r="C62" s="829"/>
      <c r="D62" s="650" t="e">
        <f>VLOOKUP($D$5,ID_list,79,FALSE)</f>
        <v>#N/A</v>
      </c>
      <c r="E62" s="650"/>
      <c r="F62" s="650"/>
      <c r="G62" s="650"/>
      <c r="H62" s="182" t="s">
        <v>139</v>
      </c>
      <c r="I62" s="801" t="e">
        <f>VLOOKUP($D$5,ID_list,73,FALSE)</f>
        <v>#N/A</v>
      </c>
      <c r="J62" s="802"/>
      <c r="K62" s="831"/>
      <c r="R62" s="133"/>
      <c r="S62" s="128"/>
      <c r="T62" s="133"/>
      <c r="U62" s="129"/>
      <c r="V62" s="133"/>
      <c r="W62" s="129"/>
    </row>
    <row r="63" spans="1:23" s="180" customFormat="1" ht="24.95" customHeight="1" x14ac:dyDescent="0.2">
      <c r="A63" s="828" t="s">
        <v>135</v>
      </c>
      <c r="B63" s="829"/>
      <c r="C63" s="829"/>
      <c r="D63" s="650" t="e">
        <f>VLOOKUP($D$5,ID_list,80,FALSE)</f>
        <v>#N/A</v>
      </c>
      <c r="E63" s="650"/>
      <c r="F63" s="650"/>
      <c r="G63" s="650"/>
      <c r="H63" s="188" t="s">
        <v>212</v>
      </c>
      <c r="I63" s="646" t="e">
        <f>VLOOKUP($D$5,ID_list,74,FALSE)</f>
        <v>#N/A</v>
      </c>
      <c r="J63" s="647"/>
      <c r="K63" s="648"/>
      <c r="R63" s="133"/>
      <c r="S63" s="128"/>
      <c r="T63" s="133"/>
      <c r="U63" s="129"/>
      <c r="V63" s="133"/>
      <c r="W63" s="129"/>
    </row>
    <row r="64" spans="1:23" s="180" customFormat="1" ht="24.95" customHeight="1" x14ac:dyDescent="0.2">
      <c r="A64" s="828" t="s">
        <v>136</v>
      </c>
      <c r="B64" s="829"/>
      <c r="C64" s="829"/>
      <c r="D64" s="650" t="e">
        <f>VLOOKUP($D$5,ID_list,81,FALSE)</f>
        <v>#N/A</v>
      </c>
      <c r="E64" s="650"/>
      <c r="F64" s="650"/>
      <c r="G64" s="650"/>
      <c r="H64" s="188" t="s">
        <v>131</v>
      </c>
      <c r="I64" s="646" t="e">
        <f>VLOOKUP($D$5,ID_list,75,FALSE)</f>
        <v>#N/A</v>
      </c>
      <c r="J64" s="647"/>
      <c r="K64" s="648"/>
      <c r="R64" s="133"/>
      <c r="S64" s="128"/>
      <c r="T64" s="133"/>
      <c r="U64" s="129"/>
      <c r="V64" s="133"/>
      <c r="W64" s="129"/>
    </row>
    <row r="65" spans="1:23" s="180" customFormat="1" ht="24.95" customHeight="1" thickBot="1" x14ac:dyDescent="0.25">
      <c r="A65" s="826" t="s">
        <v>129</v>
      </c>
      <c r="B65" s="827"/>
      <c r="C65" s="827"/>
      <c r="D65" s="800" t="e">
        <f>CONCATENATE(VLOOKUP($D$5,ID_list,82,FALSE)," ",VLOOKUP($D$5,ID_list,83,FALSE))</f>
        <v>#N/A</v>
      </c>
      <c r="E65" s="800"/>
      <c r="F65" s="800"/>
      <c r="G65" s="800"/>
      <c r="H65" s="192"/>
      <c r="I65" s="192"/>
      <c r="J65" s="192"/>
      <c r="K65" s="193"/>
      <c r="R65" s="133"/>
      <c r="S65" s="128"/>
      <c r="T65" s="133"/>
      <c r="U65" s="129"/>
      <c r="V65" s="133"/>
      <c r="W65" s="129"/>
    </row>
    <row r="66" spans="1:23" s="180" customFormat="1" x14ac:dyDescent="0.2">
      <c r="R66" s="126"/>
      <c r="S66" s="126"/>
      <c r="T66" s="126"/>
      <c r="U66" s="126"/>
      <c r="V66" s="126"/>
      <c r="W66" s="126"/>
    </row>
    <row r="67" spans="1:23" s="180" customFormat="1" x14ac:dyDescent="0.2">
      <c r="R67" s="126"/>
      <c r="S67" s="126"/>
      <c r="T67" s="126"/>
      <c r="U67" s="126"/>
      <c r="V67" s="126"/>
      <c r="W67" s="126"/>
    </row>
    <row r="68" spans="1:23" s="180" customFormat="1" x14ac:dyDescent="0.2">
      <c r="R68" s="126"/>
      <c r="S68" s="126"/>
      <c r="T68" s="126"/>
      <c r="U68" s="126"/>
      <c r="V68" s="126"/>
      <c r="W68" s="126"/>
    </row>
    <row r="69" spans="1:23" s="180" customFormat="1" x14ac:dyDescent="0.2">
      <c r="R69" s="126"/>
      <c r="S69" s="126"/>
      <c r="T69" s="126"/>
      <c r="U69" s="126"/>
      <c r="V69" s="126"/>
      <c r="W69" s="126"/>
    </row>
    <row r="70" spans="1:23" s="180" customFormat="1" x14ac:dyDescent="0.2">
      <c r="A70" s="194"/>
      <c r="B70" s="194"/>
      <c r="C70" s="194"/>
      <c r="D70" s="194"/>
      <c r="E70" s="194"/>
      <c r="R70" s="126"/>
      <c r="S70" s="126"/>
      <c r="T70" s="126"/>
      <c r="U70" s="126"/>
      <c r="V70" s="126"/>
      <c r="W70" s="126"/>
    </row>
    <row r="71" spans="1:23" s="180" customFormat="1" x14ac:dyDescent="0.2">
      <c r="R71" s="126"/>
      <c r="S71" s="126"/>
      <c r="T71" s="126"/>
      <c r="U71" s="126"/>
      <c r="V71" s="126"/>
      <c r="W71" s="126"/>
    </row>
    <row r="72" spans="1:23" s="180" customFormat="1" x14ac:dyDescent="0.2">
      <c r="R72" s="126"/>
      <c r="S72" s="126"/>
      <c r="T72" s="126"/>
      <c r="U72" s="126"/>
      <c r="V72" s="126"/>
      <c r="W72" s="126"/>
    </row>
    <row r="73" spans="1:23" s="180" customFormat="1" x14ac:dyDescent="0.2">
      <c r="R73" s="126"/>
      <c r="S73" s="126"/>
      <c r="T73" s="126"/>
      <c r="U73" s="126"/>
      <c r="V73" s="126"/>
      <c r="W73" s="126"/>
    </row>
    <row r="74" spans="1:23" s="180" customFormat="1" x14ac:dyDescent="0.2">
      <c r="R74" s="126"/>
      <c r="S74" s="126"/>
      <c r="T74" s="126"/>
      <c r="U74" s="126"/>
      <c r="V74" s="126"/>
      <c r="W74" s="126"/>
    </row>
  </sheetData>
  <sheetProtection sheet="1" objects="1" scenarios="1"/>
  <mergeCells count="163">
    <mergeCell ref="A1:K1"/>
    <mergeCell ref="A2:K2"/>
    <mergeCell ref="A3:K3"/>
    <mergeCell ref="A4:K4"/>
    <mergeCell ref="A5:C5"/>
    <mergeCell ref="E5:K5"/>
    <mergeCell ref="A6:C6"/>
    <mergeCell ref="D6:G6"/>
    <mergeCell ref="A46:C46"/>
    <mergeCell ref="D46:G46"/>
    <mergeCell ref="A42:K42"/>
    <mergeCell ref="A43:C43"/>
    <mergeCell ref="D43:G43"/>
    <mergeCell ref="I43:K43"/>
    <mergeCell ref="A44:C44"/>
    <mergeCell ref="I45:K45"/>
    <mergeCell ref="H12:K12"/>
    <mergeCell ref="I6:K6"/>
    <mergeCell ref="A7:A11"/>
    <mergeCell ref="A15:C15"/>
    <mergeCell ref="D15:G15"/>
    <mergeCell ref="A16:C16"/>
    <mergeCell ref="D16:G16"/>
    <mergeCell ref="D14:G14"/>
    <mergeCell ref="L6:O6"/>
    <mergeCell ref="L13:N13"/>
    <mergeCell ref="B10:C10"/>
    <mergeCell ref="D10:G10"/>
    <mergeCell ref="H10:J10"/>
    <mergeCell ref="B11:C11"/>
    <mergeCell ref="D11:G11"/>
    <mergeCell ref="H11:J11"/>
    <mergeCell ref="H7:J7"/>
    <mergeCell ref="K7:K11"/>
    <mergeCell ref="L7:N11"/>
    <mergeCell ref="B8:C8"/>
    <mergeCell ref="D8:G8"/>
    <mergeCell ref="H8:J8"/>
    <mergeCell ref="B9:C9"/>
    <mergeCell ref="D9:G9"/>
    <mergeCell ref="H9:J9"/>
    <mergeCell ref="B7:C7"/>
    <mergeCell ref="D7:G7"/>
    <mergeCell ref="A12:C12"/>
    <mergeCell ref="D12:G12"/>
    <mergeCell ref="A17:C17"/>
    <mergeCell ref="D17:G17"/>
    <mergeCell ref="A18:C18"/>
    <mergeCell ref="D18:G18"/>
    <mergeCell ref="L14:O14"/>
    <mergeCell ref="A13:C13"/>
    <mergeCell ref="D13:G13"/>
    <mergeCell ref="H13:I13"/>
    <mergeCell ref="J13:K13"/>
    <mergeCell ref="A14:C14"/>
    <mergeCell ref="H14:I14"/>
    <mergeCell ref="J14:K14"/>
    <mergeCell ref="H15:I15"/>
    <mergeCell ref="J15:K15"/>
    <mergeCell ref="A23:C23"/>
    <mergeCell ref="D23:G23"/>
    <mergeCell ref="D24:G24"/>
    <mergeCell ref="H24:K24"/>
    <mergeCell ref="A21:C21"/>
    <mergeCell ref="D21:G21"/>
    <mergeCell ref="A22:C22"/>
    <mergeCell ref="D22:G22"/>
    <mergeCell ref="A19:C19"/>
    <mergeCell ref="D19:G20"/>
    <mergeCell ref="H19:K19"/>
    <mergeCell ref="A20:C20"/>
    <mergeCell ref="A28:B28"/>
    <mergeCell ref="C28:H28"/>
    <mergeCell ref="J28:K28"/>
    <mergeCell ref="A29:B29"/>
    <mergeCell ref="C29:K29"/>
    <mergeCell ref="A25:K25"/>
    <mergeCell ref="A26:K26"/>
    <mergeCell ref="A27:B27"/>
    <mergeCell ref="C27:K27"/>
    <mergeCell ref="L35:O35"/>
    <mergeCell ref="A36:C36"/>
    <mergeCell ref="D36:G36"/>
    <mergeCell ref="L36:O36"/>
    <mergeCell ref="D38:G38"/>
    <mergeCell ref="A30:K30"/>
    <mergeCell ref="A33:K33"/>
    <mergeCell ref="A34:K34"/>
    <mergeCell ref="A35:C35"/>
    <mergeCell ref="D35:G35"/>
    <mergeCell ref="I35:K35"/>
    <mergeCell ref="A31:E31"/>
    <mergeCell ref="F31:K31"/>
    <mergeCell ref="A38:C38"/>
    <mergeCell ref="L38:O38"/>
    <mergeCell ref="A39:C39"/>
    <mergeCell ref="D39:G39"/>
    <mergeCell ref="I39:K39"/>
    <mergeCell ref="L39:O39"/>
    <mergeCell ref="A37:C37"/>
    <mergeCell ref="D37:G37"/>
    <mergeCell ref="I37:K37"/>
    <mergeCell ref="L37:O37"/>
    <mergeCell ref="I38:K38"/>
    <mergeCell ref="D44:G44"/>
    <mergeCell ref="A45:C45"/>
    <mergeCell ref="D45:G45"/>
    <mergeCell ref="A50:K50"/>
    <mergeCell ref="A40:C40"/>
    <mergeCell ref="D40:G40"/>
    <mergeCell ref="A41:C41"/>
    <mergeCell ref="D41:G41"/>
    <mergeCell ref="I46:K46"/>
    <mergeCell ref="I40:K40"/>
    <mergeCell ref="A52:C52"/>
    <mergeCell ref="D52:G52"/>
    <mergeCell ref="A53:C53"/>
    <mergeCell ref="D53:G53"/>
    <mergeCell ref="A51:C51"/>
    <mergeCell ref="D51:G51"/>
    <mergeCell ref="I51:K51"/>
    <mergeCell ref="I47:K47"/>
    <mergeCell ref="A48:C48"/>
    <mergeCell ref="D48:G48"/>
    <mergeCell ref="A49:C49"/>
    <mergeCell ref="D49:G49"/>
    <mergeCell ref="I48:K48"/>
    <mergeCell ref="A47:C47"/>
    <mergeCell ref="D47:G47"/>
    <mergeCell ref="A55:C55"/>
    <mergeCell ref="D55:G55"/>
    <mergeCell ref="I55:K55"/>
    <mergeCell ref="A56:C56"/>
    <mergeCell ref="D56:G56"/>
    <mergeCell ref="I56:K56"/>
    <mergeCell ref="I53:K53"/>
    <mergeCell ref="A54:C54"/>
    <mergeCell ref="D54:G54"/>
    <mergeCell ref="I54:K54"/>
    <mergeCell ref="L59:O59"/>
    <mergeCell ref="A60:C60"/>
    <mergeCell ref="D60:G60"/>
    <mergeCell ref="L60:P60"/>
    <mergeCell ref="A57:C57"/>
    <mergeCell ref="D57:G57"/>
    <mergeCell ref="A58:K58"/>
    <mergeCell ref="A59:C59"/>
    <mergeCell ref="D59:G59"/>
    <mergeCell ref="I59:K59"/>
    <mergeCell ref="A65:C65"/>
    <mergeCell ref="D65:G65"/>
    <mergeCell ref="A63:C63"/>
    <mergeCell ref="D63:G63"/>
    <mergeCell ref="I63:K63"/>
    <mergeCell ref="A64:C64"/>
    <mergeCell ref="D64:G64"/>
    <mergeCell ref="A61:C61"/>
    <mergeCell ref="D61:G61"/>
    <mergeCell ref="I61:K61"/>
    <mergeCell ref="A62:C62"/>
    <mergeCell ref="D62:G62"/>
    <mergeCell ref="I64:K64"/>
    <mergeCell ref="I62:K62"/>
  </mergeCells>
  <phoneticPr fontId="6" type="noConversion"/>
  <conditionalFormatting sqref="E5:K5">
    <cfRule type="expression" dxfId="121" priority="1" stopIfTrue="1">
      <formula>ISBLANK($D$5)</formula>
    </cfRule>
  </conditionalFormatting>
  <hyperlinks>
    <hyperlink ref="A6:C6" location="definitions!A4" display="Facility Name" xr:uid="{00000000-0004-0000-0500-000000000000}"/>
    <hyperlink ref="A5:C5" location="HCCIS_ID_list" display="HCCIS ID" xr:uid="{00000000-0004-0000-0500-000001000000}"/>
    <hyperlink ref="H6" location="defs_NPI" display="NPI" xr:uid="{00000000-0004-0000-0500-000002000000}"/>
    <hyperlink ref="L59:O59" location="code_7594" display="Capital Expenditure Reporting Section" xr:uid="{00000000-0004-0000-0500-000003000000}"/>
    <hyperlink ref="L37:O37" location="'Fixed Equip'!A1" display="Fixed Equipment" xr:uid="{00000000-0004-0000-0500-000004000000}"/>
    <hyperlink ref="L38:O38" location="'Portable Equip'!A1" display="Portable Equipment" xr:uid="{00000000-0004-0000-0500-000005000000}"/>
    <hyperlink ref="L39:O39" location="'Mobile Equip'!A1" display="Mobile Equipment" xr:uid="{00000000-0004-0000-0500-000006000000}"/>
    <hyperlink ref="L60:O60" location="'Capital Expend Project Specific'!A1" display="Click here to go the the Capital Expenditure Project Specific Tab" xr:uid="{00000000-0004-0000-0500-000007000000}"/>
    <hyperlink ref="A31:E31" location="cap_exp_errors" display="cap_exp_errors" xr:uid="{00000000-0004-0000-0500-000008000000}"/>
    <hyperlink ref="F31:K31" location="'Capital Expend Project Specific'!A1" display="Capital Expenditure Project Specific Tab" xr:uid="{00000000-0004-0000-0500-000009000000}"/>
  </hyperlinks>
  <printOptions horizontalCentered="1"/>
  <pageMargins left="0.75" right="0.75" top="1" bottom="1" header="0.5" footer="0.5"/>
  <pageSetup scale="51" fitToHeight="2" orientation="portrait" r:id="rId1"/>
  <headerFooter alignWithMargins="0">
    <oddFooter>&amp;L&amp;"Calibri,Regular"Diagnostic Imaging Facility Utilization Report
Fiscal Year 2024
&amp;C&amp;"Calibri,Regular"&amp;P of &amp;N&amp;R&amp;"Calibri,Regular"Minnesota Department of Health
Phone 651-201-3572
health.hccis@state.mn.us</oddFooter>
  </headerFooter>
  <rowBreaks count="1" manualBreakCount="1">
    <brk id="31" max="1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AC39"/>
  <sheetViews>
    <sheetView zoomScaleNormal="100" workbookViewId="0">
      <selection sqref="A1:K1"/>
    </sheetView>
  </sheetViews>
  <sheetFormatPr defaultColWidth="0" defaultRowHeight="12.75" zeroHeight="1" x14ac:dyDescent="0.2"/>
  <cols>
    <col min="1" max="2" width="9.28515625" style="124" customWidth="1"/>
    <col min="3" max="12" width="10.7109375" style="124" customWidth="1"/>
    <col min="13" max="14" width="8.85546875" style="124" customWidth="1"/>
    <col min="15" max="19" width="8.85546875" style="124" hidden="1" customWidth="1"/>
    <col min="20" max="23" width="11" style="124" hidden="1" customWidth="1"/>
    <col min="24" max="30" width="8.85546875" style="124" hidden="1" customWidth="1"/>
    <col min="31" max="16384" width="8.85546875" style="124" hidden="1"/>
  </cols>
  <sheetData>
    <row r="1" spans="1:29" ht="27" customHeight="1" thickBot="1" x14ac:dyDescent="0.25">
      <c r="A1" s="936" t="e">
        <f>CONCATENATE('Demog Contact'!D$5," ",'Demog Contact'!D$6)</f>
        <v>#N/A</v>
      </c>
      <c r="B1" s="936"/>
      <c r="C1" s="936"/>
      <c r="D1" s="936"/>
      <c r="E1" s="936"/>
      <c r="F1" s="936"/>
      <c r="G1" s="936"/>
      <c r="H1" s="936"/>
      <c r="I1" s="936"/>
      <c r="J1" s="936"/>
      <c r="K1" s="529">
        <f>('Demog Contact'!D5)</f>
        <v>0</v>
      </c>
      <c r="L1" s="928" t="s">
        <v>752</v>
      </c>
      <c r="M1" s="928"/>
      <c r="N1" s="928"/>
      <c r="T1" s="198"/>
      <c r="U1" s="198"/>
      <c r="V1" s="198"/>
      <c r="W1" s="198"/>
    </row>
    <row r="2" spans="1:29" ht="21" x14ac:dyDescent="0.35">
      <c r="A2" s="900" t="s">
        <v>408</v>
      </c>
      <c r="B2" s="901"/>
      <c r="C2" s="901"/>
      <c r="D2" s="901"/>
      <c r="E2" s="901"/>
      <c r="F2" s="901"/>
      <c r="G2" s="901"/>
      <c r="H2" s="901"/>
      <c r="I2" s="901"/>
      <c r="J2" s="901"/>
      <c r="K2" s="902"/>
      <c r="L2" s="929" t="s">
        <v>752</v>
      </c>
      <c r="M2" s="928"/>
      <c r="N2" s="928"/>
      <c r="T2" s="198"/>
      <c r="U2" s="198"/>
      <c r="V2" s="198"/>
      <c r="W2" s="198"/>
    </row>
    <row r="3" spans="1:29" ht="25.9" customHeight="1" x14ac:dyDescent="0.2">
      <c r="A3" s="911" t="s">
        <v>439</v>
      </c>
      <c r="B3" s="912"/>
      <c r="C3" s="912"/>
      <c r="D3" s="912"/>
      <c r="E3" s="912"/>
      <c r="F3" s="912"/>
      <c r="G3" s="912"/>
      <c r="H3" s="912"/>
      <c r="I3" s="912"/>
      <c r="J3" s="912"/>
      <c r="K3" s="913"/>
      <c r="L3" s="929" t="s">
        <v>752</v>
      </c>
      <c r="M3" s="928"/>
      <c r="N3" s="928"/>
      <c r="T3" s="199" t="s">
        <v>478</v>
      </c>
      <c r="U3" s="198"/>
      <c r="V3" s="198"/>
      <c r="W3" s="198"/>
    </row>
    <row r="4" spans="1:29" ht="25.9" customHeight="1" x14ac:dyDescent="0.2">
      <c r="A4" s="932" t="s">
        <v>752</v>
      </c>
      <c r="B4" s="933"/>
      <c r="C4" s="933"/>
      <c r="D4" s="933"/>
      <c r="E4" s="933"/>
      <c r="F4" s="933"/>
      <c r="G4" s="933"/>
      <c r="H4" s="933"/>
      <c r="I4" s="921" t="str">
        <f>CONCATENATE("Fiscal Year ",'Demog Contact'!L1)</f>
        <v>Fiscal Year 2024</v>
      </c>
      <c r="J4" s="921"/>
      <c r="K4" s="922"/>
      <c r="L4" s="929" t="s">
        <v>752</v>
      </c>
      <c r="M4" s="875"/>
      <c r="N4" s="875"/>
      <c r="T4" s="198"/>
      <c r="U4" s="198"/>
      <c r="V4" s="198"/>
      <c r="W4" s="198"/>
    </row>
    <row r="5" spans="1:29" ht="36.6" customHeight="1" x14ac:dyDescent="0.2">
      <c r="A5" s="934" t="s">
        <v>376</v>
      </c>
      <c r="B5" s="935"/>
      <c r="C5" s="903" t="s">
        <v>477</v>
      </c>
      <c r="D5" s="904"/>
      <c r="E5" s="904"/>
      <c r="F5" s="904"/>
      <c r="G5" s="904"/>
      <c r="H5" s="904"/>
      <c r="I5" s="904"/>
      <c r="J5" s="923" t="s">
        <v>409</v>
      </c>
      <c r="K5" s="924"/>
      <c r="L5" s="930" t="s">
        <v>752</v>
      </c>
      <c r="M5" s="931"/>
      <c r="N5" s="931"/>
      <c r="T5" s="201">
        <f>SUM('Fixed Equip'!A20,'Portable Equip'!A20,'Leased Equip'!A20)</f>
        <v>0</v>
      </c>
      <c r="U5" s="201" t="e">
        <f>SUM(X7,X10,X13,AC16)</f>
        <v>#N/A</v>
      </c>
      <c r="V5" s="202"/>
      <c r="W5" s="202"/>
    </row>
    <row r="6" spans="1:29" ht="34.9" customHeight="1" x14ac:dyDescent="0.2">
      <c r="A6" s="884" t="s">
        <v>377</v>
      </c>
      <c r="B6" s="885"/>
      <c r="C6" s="203" t="s">
        <v>380</v>
      </c>
      <c r="D6" s="203" t="s">
        <v>381</v>
      </c>
      <c r="E6" s="203" t="s">
        <v>378</v>
      </c>
      <c r="F6" s="203" t="s">
        <v>382</v>
      </c>
      <c r="G6" s="925" t="s">
        <v>772</v>
      </c>
      <c r="H6" s="926"/>
      <c r="I6" s="926"/>
      <c r="J6" s="926"/>
      <c r="K6" s="927"/>
      <c r="L6" s="943" t="s">
        <v>494</v>
      </c>
      <c r="M6" s="944"/>
      <c r="N6" s="945"/>
      <c r="T6" s="207" t="e">
        <f>TRIM(C7)</f>
        <v>#N/A</v>
      </c>
      <c r="U6" s="207" t="e">
        <f>TRIM(D7)</f>
        <v>#N/A</v>
      </c>
      <c r="V6" s="207" t="e">
        <f>TRIM(E7)</f>
        <v>#N/A</v>
      </c>
      <c r="W6" s="207" t="e">
        <f>TRIM(F7)</f>
        <v>#N/A</v>
      </c>
    </row>
    <row r="7" spans="1:29" ht="17.45" customHeight="1" x14ac:dyDescent="0.2">
      <c r="A7" s="886"/>
      <c r="B7" s="887"/>
      <c r="C7" s="208" t="e">
        <f>IF(EXACT(VLOOKUP($K$1,ID_list,108,FALSE),"128"),"X","")</f>
        <v>#N/A</v>
      </c>
      <c r="D7" s="163" t="e">
        <f>IF(EXACT(VLOOKUP($K$1,ID_list,110,FALSE),"131"),"X","")</f>
        <v>#N/A</v>
      </c>
      <c r="E7" s="163" t="e">
        <f>IF(EXACT(VLOOKUP($K$1,ID_list,112,FALSE),"129"),"X","")</f>
        <v>#N/A</v>
      </c>
      <c r="F7" s="209" t="e">
        <f>IF(EXACT(VLOOKUP($K$1,ID_list,114,FALSE),"130"),"X","")</f>
        <v>#N/A</v>
      </c>
      <c r="G7" s="878" t="e">
        <f>IF(OR(AND(T7=1,T8=0),AND(U7=1,U8=0),AND(V7=1,V8=0),AND(W7=1,W8=0)),"Please provide Certification Expiration date","")</f>
        <v>#N/A</v>
      </c>
      <c r="H7" s="878"/>
      <c r="I7" s="878"/>
      <c r="J7" s="878"/>
      <c r="K7" s="879"/>
      <c r="L7" s="946"/>
      <c r="M7" s="939"/>
      <c r="N7" s="940"/>
      <c r="T7" s="210" t="e">
        <f>LEN(T6)</f>
        <v>#N/A</v>
      </c>
      <c r="U7" s="210" t="e">
        <f>LEN(U6)</f>
        <v>#N/A</v>
      </c>
      <c r="V7" s="210" t="e">
        <f>LEN(V6)</f>
        <v>#N/A</v>
      </c>
      <c r="W7" s="210" t="e">
        <f>LEN(W6)</f>
        <v>#N/A</v>
      </c>
      <c r="X7" s="201" t="e">
        <f>SUM(T7:W7)</f>
        <v>#N/A</v>
      </c>
    </row>
    <row r="8" spans="1:29" ht="17.45" customHeight="1" x14ac:dyDescent="0.2">
      <c r="A8" s="876" t="s">
        <v>405</v>
      </c>
      <c r="B8" s="877"/>
      <c r="C8" s="211" t="e">
        <f>VLOOKUP($K$1,ID_list,109,FALSE)</f>
        <v>#N/A</v>
      </c>
      <c r="D8" s="211" t="e">
        <f>VLOOKUP($K$1,ID_list,111,FALSE)</f>
        <v>#N/A</v>
      </c>
      <c r="E8" s="211" t="e">
        <f>VLOOKUP($K$1,ID_list,113,FALSE)</f>
        <v>#N/A</v>
      </c>
      <c r="F8" s="211" t="e">
        <f>VLOOKUP($K$1,ID_list,115,FALSE)</f>
        <v>#N/A</v>
      </c>
      <c r="G8" s="878"/>
      <c r="H8" s="878"/>
      <c r="I8" s="878"/>
      <c r="J8" s="878"/>
      <c r="K8" s="879"/>
      <c r="L8" s="946"/>
      <c r="M8" s="939"/>
      <c r="N8" s="940"/>
      <c r="T8" s="490" t="e">
        <f>C8</f>
        <v>#N/A</v>
      </c>
      <c r="U8" s="490" t="e">
        <f>D8</f>
        <v>#N/A</v>
      </c>
      <c r="V8" s="490" t="e">
        <f>E8</f>
        <v>#N/A</v>
      </c>
      <c r="W8" s="491" t="e">
        <f>F8</f>
        <v>#N/A</v>
      </c>
    </row>
    <row r="9" spans="1:29" ht="34.9" customHeight="1" x14ac:dyDescent="0.2">
      <c r="A9" s="884" t="s">
        <v>379</v>
      </c>
      <c r="B9" s="885"/>
      <c r="C9" s="203" t="s">
        <v>447</v>
      </c>
      <c r="D9" s="203" t="s">
        <v>448</v>
      </c>
      <c r="E9" s="203" t="s">
        <v>449</v>
      </c>
      <c r="F9" s="545" t="s">
        <v>752</v>
      </c>
      <c r="G9" s="878" t="e">
        <f>IF(AND(T5&gt;0,U5=0),"Please indicate Accredited Modalities and provide Certification Expiration dates","")</f>
        <v>#N/A</v>
      </c>
      <c r="H9" s="878"/>
      <c r="I9" s="878"/>
      <c r="J9" s="878"/>
      <c r="K9" s="879"/>
      <c r="L9" s="939" t="s">
        <v>758</v>
      </c>
      <c r="M9" s="939"/>
      <c r="N9" s="940"/>
      <c r="T9" s="215" t="e">
        <f>TRIM(C10)</f>
        <v>#N/A</v>
      </c>
      <c r="U9" s="215" t="e">
        <f>TRIM(D10)</f>
        <v>#N/A</v>
      </c>
      <c r="V9" s="216" t="e">
        <f>TRIM(E10)</f>
        <v>#N/A</v>
      </c>
      <c r="W9" s="217" t="str">
        <f>TRIM(F10)</f>
        <v>blank</v>
      </c>
    </row>
    <row r="10" spans="1:29" ht="17.45" customHeight="1" x14ac:dyDescent="0.2">
      <c r="A10" s="886"/>
      <c r="B10" s="887"/>
      <c r="C10" s="208" t="e">
        <f>IF(EXACT(VLOOKUP($K$1,ID_list,116,FALSE),"132"),"X","")</f>
        <v>#N/A</v>
      </c>
      <c r="D10" s="163" t="e">
        <f>IF(EXACT(VLOOKUP($K$1,ID_list,118,FALSE),"133"),"X","")</f>
        <v>#N/A</v>
      </c>
      <c r="E10" s="163" t="e">
        <f>IF(EXACT(VLOOKUP($K$1,ID_list,120,FALSE),"134"),"X","")</f>
        <v>#N/A</v>
      </c>
      <c r="F10" s="560" t="s">
        <v>752</v>
      </c>
      <c r="G10" s="878" t="e">
        <f>IF(OR(AND(T10=1,T11=0),AND(U10=1,U11=0),AND(V10=1,V11=0),AND(W10=1,W11=0)),"Please provide Certification Expiration date","")</f>
        <v>#N/A</v>
      </c>
      <c r="H10" s="878"/>
      <c r="I10" s="878"/>
      <c r="J10" s="878"/>
      <c r="K10" s="879"/>
      <c r="L10" s="939"/>
      <c r="M10" s="939"/>
      <c r="N10" s="940"/>
      <c r="T10" s="215" t="e">
        <f>LEN(T9)</f>
        <v>#N/A</v>
      </c>
      <c r="U10" s="215" t="e">
        <f>LEN(U9)</f>
        <v>#N/A</v>
      </c>
      <c r="V10" s="216" t="e">
        <f>LEN(V9)</f>
        <v>#N/A</v>
      </c>
      <c r="W10" s="215">
        <f>LEN(W9)</f>
        <v>5</v>
      </c>
      <c r="X10" s="219" t="e">
        <f>SUM(T10:W10)</f>
        <v>#N/A</v>
      </c>
    </row>
    <row r="11" spans="1:29" ht="17.45" customHeight="1" x14ac:dyDescent="0.2">
      <c r="A11" s="876" t="s">
        <v>405</v>
      </c>
      <c r="B11" s="877"/>
      <c r="C11" s="211" t="e">
        <f>VLOOKUP($K$1,ID_list,117,FALSE)</f>
        <v>#N/A</v>
      </c>
      <c r="D11" s="211" t="e">
        <f>VLOOKUP($K$1,ID_list,119,FALSE)</f>
        <v>#N/A</v>
      </c>
      <c r="E11" s="211" t="e">
        <f>VLOOKUP($K$1,ID_list,121,FALSE)</f>
        <v>#N/A</v>
      </c>
      <c r="F11" s="561" t="s">
        <v>752</v>
      </c>
      <c r="G11" s="878"/>
      <c r="H11" s="878"/>
      <c r="I11" s="878"/>
      <c r="J11" s="878"/>
      <c r="K11" s="879"/>
      <c r="L11" s="939"/>
      <c r="M11" s="939"/>
      <c r="N11" s="940"/>
      <c r="T11" s="492" t="e">
        <f>C11</f>
        <v>#N/A</v>
      </c>
      <c r="U11" s="492" t="e">
        <f>D11</f>
        <v>#N/A</v>
      </c>
      <c r="V11" s="493" t="e">
        <f>E11</f>
        <v>#N/A</v>
      </c>
      <c r="W11" s="494" t="str">
        <f>F11</f>
        <v>blank</v>
      </c>
    </row>
    <row r="12" spans="1:29" ht="32.25" customHeight="1" x14ac:dyDescent="0.2">
      <c r="A12" s="884" t="s">
        <v>704</v>
      </c>
      <c r="B12" s="885"/>
      <c r="C12" s="203" t="s">
        <v>706</v>
      </c>
      <c r="D12" s="203" t="s">
        <v>708</v>
      </c>
      <c r="E12" s="203" t="s">
        <v>710</v>
      </c>
      <c r="F12" s="203" t="s">
        <v>712</v>
      </c>
      <c r="G12" s="950" t="s">
        <v>752</v>
      </c>
      <c r="H12" s="951"/>
      <c r="I12" s="951"/>
      <c r="J12" s="951"/>
      <c r="K12" s="952"/>
      <c r="L12" s="939"/>
      <c r="M12" s="939"/>
      <c r="N12" s="940"/>
      <c r="T12" s="213" t="e">
        <f>TRIM(C13)</f>
        <v>#N/A</v>
      </c>
      <c r="U12" s="213" t="e">
        <f>TRIM(D13)</f>
        <v>#N/A</v>
      </c>
      <c r="V12" s="213" t="e">
        <f>TRIM(E13)</f>
        <v>#N/A</v>
      </c>
      <c r="W12" s="212" t="e">
        <f>TRIM(F13)</f>
        <v>#N/A</v>
      </c>
    </row>
    <row r="13" spans="1:29" ht="17.25" customHeight="1" x14ac:dyDescent="0.2">
      <c r="A13" s="886"/>
      <c r="B13" s="887"/>
      <c r="C13" s="211" t="e">
        <f>IF(EXACT(VLOOKUP($K$1,ID_list,140,FALSE),"215"),"X","")</f>
        <v>#N/A</v>
      </c>
      <c r="D13" s="211" t="e">
        <f>IF(EXACT(VLOOKUP($K$1,ID_list,142,FALSE),"216"),"X","")</f>
        <v>#N/A</v>
      </c>
      <c r="E13" s="211" t="e">
        <f>IF(EXACT(VLOOKUP($K$1,ID_list,144,FALSE),"217"),"X","")</f>
        <v>#N/A</v>
      </c>
      <c r="F13" s="218" t="e">
        <f>IF(EXACT(VLOOKUP($K$1,ID_list,146,FALSE),"218"),"X","")</f>
        <v>#N/A</v>
      </c>
      <c r="G13" s="905" t="e">
        <f>IF(OR(AND(T13=1,T14=0),AND(U13=1,U14=0),AND(V13=1,V14=0),AND(W13=1,W14=0)),"Please provide Certification Expiration date","")</f>
        <v>#N/A</v>
      </c>
      <c r="H13" s="878"/>
      <c r="I13" s="878"/>
      <c r="J13" s="878"/>
      <c r="K13" s="879"/>
      <c r="L13" s="939"/>
      <c r="M13" s="939"/>
      <c r="N13" s="940"/>
      <c r="T13" s="213" t="e">
        <f>LEN(T12)</f>
        <v>#N/A</v>
      </c>
      <c r="U13" s="213" t="e">
        <f>LEN(U12)</f>
        <v>#N/A</v>
      </c>
      <c r="V13" s="213" t="e">
        <f>LEN(V12)</f>
        <v>#N/A</v>
      </c>
      <c r="W13" s="213" t="e">
        <f>LEN(W12)</f>
        <v>#N/A</v>
      </c>
      <c r="X13" s="201" t="e">
        <f>SUM(T13:W13)</f>
        <v>#N/A</v>
      </c>
    </row>
    <row r="14" spans="1:29" ht="17.45" customHeight="1" x14ac:dyDescent="0.2">
      <c r="A14" s="876" t="s">
        <v>405</v>
      </c>
      <c r="B14" s="877"/>
      <c r="C14" s="211" t="e">
        <f>VLOOKUP($K$1,ID_list,141,FALSE)</f>
        <v>#N/A</v>
      </c>
      <c r="D14" s="211" t="e">
        <f>VLOOKUP($K$1,ID_list,143,FALSE)</f>
        <v>#N/A</v>
      </c>
      <c r="E14" s="211" t="e">
        <f>VLOOKUP($K$1,ID_list,145,FALSE)</f>
        <v>#N/A</v>
      </c>
      <c r="F14" s="211" t="e">
        <f>VLOOKUP($K$1,ID_list,147,FALSE)</f>
        <v>#N/A</v>
      </c>
      <c r="G14" s="906"/>
      <c r="H14" s="907"/>
      <c r="I14" s="907"/>
      <c r="J14" s="907"/>
      <c r="K14" s="908"/>
      <c r="L14" s="941"/>
      <c r="M14" s="941"/>
      <c r="N14" s="942"/>
      <c r="T14" s="491" t="e">
        <f>C14</f>
        <v>#N/A</v>
      </c>
      <c r="U14" s="491" t="e">
        <f>D14</f>
        <v>#N/A</v>
      </c>
      <c r="V14" s="491" t="e">
        <f>E14</f>
        <v>#N/A</v>
      </c>
      <c r="W14" s="491" t="e">
        <f>F14</f>
        <v>#N/A</v>
      </c>
    </row>
    <row r="15" spans="1:29" ht="34.15" customHeight="1" x14ac:dyDescent="0.2">
      <c r="A15" s="884" t="s">
        <v>386</v>
      </c>
      <c r="B15" s="885"/>
      <c r="C15" s="203" t="s">
        <v>384</v>
      </c>
      <c r="D15" s="203" t="s">
        <v>269</v>
      </c>
      <c r="E15" s="203" t="s">
        <v>270</v>
      </c>
      <c r="F15" s="203" t="s">
        <v>272</v>
      </c>
      <c r="G15" s="220" t="s">
        <v>383</v>
      </c>
      <c r="H15" s="203" t="s">
        <v>411</v>
      </c>
      <c r="I15" s="203" t="s">
        <v>412</v>
      </c>
      <c r="J15" s="221" t="s">
        <v>385</v>
      </c>
      <c r="K15" s="222" t="s">
        <v>387</v>
      </c>
      <c r="L15" s="949" t="s">
        <v>756</v>
      </c>
      <c r="M15" s="949"/>
      <c r="N15" s="949"/>
      <c r="T15" s="223" t="e">
        <f t="shared" ref="T15:AB15" si="0">TRIM(C16)</f>
        <v>#N/A</v>
      </c>
      <c r="U15" s="223" t="e">
        <f t="shared" si="0"/>
        <v>#N/A</v>
      </c>
      <c r="V15" s="223" t="e">
        <f t="shared" si="0"/>
        <v>#N/A</v>
      </c>
      <c r="W15" s="223" t="e">
        <f t="shared" si="0"/>
        <v>#N/A</v>
      </c>
      <c r="X15" s="223" t="e">
        <f t="shared" si="0"/>
        <v>#N/A</v>
      </c>
      <c r="Y15" s="223" t="e">
        <f t="shared" si="0"/>
        <v>#N/A</v>
      </c>
      <c r="Z15" s="223" t="e">
        <f t="shared" si="0"/>
        <v>#N/A</v>
      </c>
      <c r="AA15" s="223" t="e">
        <f t="shared" si="0"/>
        <v>#N/A</v>
      </c>
      <c r="AB15" s="223" t="e">
        <f t="shared" si="0"/>
        <v>#N/A</v>
      </c>
      <c r="AC15" s="198"/>
    </row>
    <row r="16" spans="1:29" ht="17.45" customHeight="1" x14ac:dyDescent="0.2">
      <c r="A16" s="886"/>
      <c r="B16" s="887"/>
      <c r="C16" s="208" t="e">
        <f>IF(EXACT(VLOOKUP($K$1,ID_list,122,FALSE),"140"),"X","")</f>
        <v>#N/A</v>
      </c>
      <c r="D16" s="208" t="e">
        <f>IF(EXACT(VLOOKUP($K$1,ID_list,124,FALSE),"141"),"X","")</f>
        <v>#N/A</v>
      </c>
      <c r="E16" s="208" t="e">
        <f>IF(EXACT(VLOOKUP($K$1,ID_list,126,FALSE),"143"),"X","")</f>
        <v>#N/A</v>
      </c>
      <c r="F16" s="563" t="e">
        <f>IF(EXACT(VLOOKUP($K$1,ID_list,128,FALSE),"135"),"X","")</f>
        <v>#N/A</v>
      </c>
      <c r="G16" s="562" t="e">
        <f>IF(EXACT(VLOOKUP($K$1,ID_list,130,FALSE),"136"),"X","")</f>
        <v>#N/A</v>
      </c>
      <c r="H16" s="208" t="e">
        <f>IF(EXACT(VLOOKUP($K$1,ID_list,132,FALSE),"137"),"X","")</f>
        <v>#N/A</v>
      </c>
      <c r="I16" s="208" t="e">
        <f>IF(EXACT(VLOOKUP($K$1,ID_list,134,FALSE),"142"),"X","")</f>
        <v>#N/A</v>
      </c>
      <c r="J16" s="225" t="e">
        <f>IF(EXACT(VLOOKUP($K$1,ID_list,136,FALSE),"138"),"X","")</f>
        <v>#N/A</v>
      </c>
      <c r="K16" s="224" t="e">
        <f>IF(EXACT(VLOOKUP($K$1,ID_list,138,FALSE),"139"),"X","")</f>
        <v>#N/A</v>
      </c>
      <c r="L16" s="953" t="s">
        <v>752</v>
      </c>
      <c r="M16" s="954"/>
      <c r="N16" s="954"/>
      <c r="T16" s="223" t="e">
        <f t="shared" ref="T16:AB16" si="1">LEN(T15)</f>
        <v>#N/A</v>
      </c>
      <c r="U16" s="223" t="e">
        <f t="shared" si="1"/>
        <v>#N/A</v>
      </c>
      <c r="V16" s="223" t="e">
        <f t="shared" si="1"/>
        <v>#N/A</v>
      </c>
      <c r="W16" s="223" t="e">
        <f t="shared" si="1"/>
        <v>#N/A</v>
      </c>
      <c r="X16" s="223" t="e">
        <f t="shared" si="1"/>
        <v>#N/A</v>
      </c>
      <c r="Y16" s="223" t="e">
        <f t="shared" si="1"/>
        <v>#N/A</v>
      </c>
      <c r="Z16" s="223" t="e">
        <f t="shared" si="1"/>
        <v>#N/A</v>
      </c>
      <c r="AA16" s="223" t="e">
        <f t="shared" si="1"/>
        <v>#N/A</v>
      </c>
      <c r="AB16" s="223" t="e">
        <f t="shared" si="1"/>
        <v>#N/A</v>
      </c>
      <c r="AC16" s="201" t="e">
        <f>SUM(T16:AB16)</f>
        <v>#N/A</v>
      </c>
    </row>
    <row r="17" spans="1:29" ht="18" customHeight="1" x14ac:dyDescent="0.2">
      <c r="A17" s="876" t="s">
        <v>405</v>
      </c>
      <c r="B17" s="877"/>
      <c r="C17" s="512" t="e">
        <f>VLOOKUP($K$1,ID_list,123,FALSE)</f>
        <v>#N/A</v>
      </c>
      <c r="D17" s="512" t="e">
        <f>VLOOKUP($K$1,ID_list,125,FALSE)</f>
        <v>#N/A</v>
      </c>
      <c r="E17" s="512" t="e">
        <f>VLOOKUP($K$1,ID_list,127,FALSE)</f>
        <v>#N/A</v>
      </c>
      <c r="F17" s="512" t="e">
        <f>VLOOKUP($K$1,ID_list,129,FALSE)</f>
        <v>#N/A</v>
      </c>
      <c r="G17" s="513" t="e">
        <f>VLOOKUP($K$1,ID_list,131,FALSE)</f>
        <v>#N/A</v>
      </c>
      <c r="H17" s="513" t="e">
        <f>VLOOKUP($K$1,ID_list,133,FALSE)</f>
        <v>#N/A</v>
      </c>
      <c r="I17" s="513" t="e">
        <f>VLOOKUP($K$1,ID_list,135,FALSE)</f>
        <v>#N/A</v>
      </c>
      <c r="J17" s="514" t="e">
        <f>VLOOKUP($K$1,ID_list,137,FALSE)</f>
        <v>#N/A</v>
      </c>
      <c r="K17" s="515" t="e">
        <f>VLOOKUP($K$1,ID_list,139,FALSE)</f>
        <v>#N/A</v>
      </c>
      <c r="L17" s="947" t="s">
        <v>752</v>
      </c>
      <c r="M17" s="948"/>
      <c r="N17" s="948"/>
      <c r="T17" s="230" t="e">
        <f t="shared" ref="T17:AB17" si="2">C17</f>
        <v>#N/A</v>
      </c>
      <c r="U17" s="230" t="e">
        <f t="shared" si="2"/>
        <v>#N/A</v>
      </c>
      <c r="V17" s="230" t="e">
        <f t="shared" si="2"/>
        <v>#N/A</v>
      </c>
      <c r="W17" s="230" t="e">
        <f t="shared" si="2"/>
        <v>#N/A</v>
      </c>
      <c r="X17" s="230" t="e">
        <f t="shared" si="2"/>
        <v>#N/A</v>
      </c>
      <c r="Y17" s="230" t="e">
        <f t="shared" si="2"/>
        <v>#N/A</v>
      </c>
      <c r="Z17" s="230" t="e">
        <f t="shared" si="2"/>
        <v>#N/A</v>
      </c>
      <c r="AA17" s="230" t="e">
        <f t="shared" si="2"/>
        <v>#N/A</v>
      </c>
      <c r="AB17" s="230" t="e">
        <f t="shared" si="2"/>
        <v>#N/A</v>
      </c>
      <c r="AC17" s="198"/>
    </row>
    <row r="18" spans="1:29" ht="34.15" customHeight="1" thickBot="1" x14ac:dyDescent="0.25">
      <c r="A18" s="888" t="s">
        <v>771</v>
      </c>
      <c r="B18" s="889"/>
      <c r="C18" s="909" t="e">
        <f>IF(OR(AND(T16=1,T17=0),AND(U16=1,U17=0),AND(V16=1,V17=0),AND(W16=1,W17=0),AND(X16=1,X17=0),AND(Y16=1,Y17=0),AND(Z16=1,Z17=0),AND(AA16=1,AA17=0),AND(AB16=1,AB17=0)),"Please provide Certification Expiration date","")</f>
        <v>#N/A</v>
      </c>
      <c r="D18" s="909"/>
      <c r="E18" s="909"/>
      <c r="F18" s="909"/>
      <c r="G18" s="909"/>
      <c r="H18" s="909"/>
      <c r="I18" s="909"/>
      <c r="J18" s="909"/>
      <c r="K18" s="910"/>
      <c r="L18" s="929" t="s">
        <v>752</v>
      </c>
      <c r="M18" s="928"/>
      <c r="N18" s="928"/>
      <c r="T18" s="198"/>
      <c r="U18" s="198"/>
      <c r="V18" s="198"/>
      <c r="W18" s="198"/>
    </row>
    <row r="19" spans="1:29" ht="13.5" thickBot="1" x14ac:dyDescent="0.25">
      <c r="A19" s="875" t="s">
        <v>757</v>
      </c>
      <c r="B19" s="875"/>
      <c r="C19" s="875"/>
      <c r="D19" s="875"/>
      <c r="E19" s="875"/>
      <c r="F19" s="875"/>
      <c r="G19" s="875"/>
      <c r="H19" s="875"/>
      <c r="I19" s="875"/>
      <c r="J19" s="875"/>
      <c r="K19" s="875"/>
      <c r="L19" s="875"/>
      <c r="M19" s="875"/>
      <c r="N19" s="875"/>
      <c r="T19" s="198"/>
      <c r="U19" s="198"/>
      <c r="V19" s="198"/>
      <c r="W19" s="198"/>
    </row>
    <row r="20" spans="1:29" ht="27.6" customHeight="1" x14ac:dyDescent="0.2">
      <c r="A20" s="892" t="s">
        <v>407</v>
      </c>
      <c r="B20" s="893"/>
      <c r="C20" s="893"/>
      <c r="D20" s="893"/>
      <c r="E20" s="893"/>
      <c r="F20" s="893"/>
      <c r="G20" s="894"/>
      <c r="H20" s="894"/>
      <c r="I20" s="894"/>
      <c r="J20" s="890" t="str">
        <f>CONCATENATE("FY ",'Demog Contact'!L1)</f>
        <v>FY 2024</v>
      </c>
      <c r="K20" s="891"/>
      <c r="L20" s="929" t="s">
        <v>752</v>
      </c>
      <c r="M20" s="928"/>
      <c r="N20" s="928"/>
      <c r="T20" s="198"/>
      <c r="U20" s="198"/>
      <c r="V20" s="198"/>
      <c r="W20" s="198"/>
    </row>
    <row r="21" spans="1:29" ht="27.6" customHeight="1" x14ac:dyDescent="0.2">
      <c r="A21" s="880" t="s">
        <v>759</v>
      </c>
      <c r="B21" s="881"/>
      <c r="C21" s="881"/>
      <c r="D21" s="881"/>
      <c r="E21" s="881"/>
      <c r="F21" s="881"/>
      <c r="G21" s="881"/>
      <c r="H21" s="881"/>
      <c r="I21" s="882"/>
      <c r="J21" s="882"/>
      <c r="K21" s="883"/>
      <c r="L21" s="929" t="s">
        <v>752</v>
      </c>
      <c r="M21" s="928"/>
      <c r="N21" s="928"/>
      <c r="T21" s="198"/>
      <c r="U21" s="198"/>
      <c r="V21" s="198"/>
      <c r="W21" s="198"/>
    </row>
    <row r="22" spans="1:29" ht="27.6" customHeight="1" x14ac:dyDescent="0.2">
      <c r="A22" s="957" t="s">
        <v>388</v>
      </c>
      <c r="B22" s="958"/>
      <c r="C22" s="937" t="s">
        <v>389</v>
      </c>
      <c r="D22" s="938"/>
      <c r="E22" s="938"/>
      <c r="F22" s="938"/>
      <c r="G22" s="938"/>
      <c r="H22" s="938"/>
      <c r="I22" s="882"/>
      <c r="J22" s="882"/>
      <c r="K22" s="883"/>
      <c r="L22" s="929" t="s">
        <v>752</v>
      </c>
      <c r="M22" s="928"/>
      <c r="N22" s="928"/>
      <c r="T22" s="198"/>
      <c r="U22" s="198"/>
      <c r="V22" s="198"/>
      <c r="W22" s="198"/>
    </row>
    <row r="23" spans="1:29" ht="30" customHeight="1" x14ac:dyDescent="0.2">
      <c r="A23" s="895" t="s">
        <v>406</v>
      </c>
      <c r="B23" s="896"/>
      <c r="C23" s="897"/>
      <c r="D23" s="955"/>
      <c r="E23" s="955"/>
      <c r="F23" s="955"/>
      <c r="G23" s="955"/>
      <c r="H23" s="955"/>
      <c r="I23" s="955"/>
      <c r="J23" s="955"/>
      <c r="K23" s="956"/>
      <c r="L23" s="929" t="s">
        <v>752</v>
      </c>
      <c r="M23" s="928"/>
      <c r="N23" s="928"/>
      <c r="T23" s="198"/>
      <c r="U23" s="198"/>
      <c r="V23" s="198"/>
      <c r="W23" s="198"/>
    </row>
    <row r="24" spans="1:29" ht="30" customHeight="1" x14ac:dyDescent="0.2">
      <c r="A24" s="895" t="s">
        <v>390</v>
      </c>
      <c r="B24" s="896"/>
      <c r="C24" s="897"/>
      <c r="D24" s="955"/>
      <c r="E24" s="955"/>
      <c r="F24" s="955"/>
      <c r="G24" s="955"/>
      <c r="H24" s="955"/>
      <c r="I24" s="955"/>
      <c r="J24" s="955"/>
      <c r="K24" s="956"/>
      <c r="L24" s="929" t="s">
        <v>752</v>
      </c>
      <c r="M24" s="928"/>
      <c r="N24" s="928"/>
      <c r="T24" s="198"/>
      <c r="U24" s="198"/>
      <c r="V24" s="198"/>
      <c r="W24" s="198"/>
    </row>
    <row r="25" spans="1:29" ht="30" customHeight="1" x14ac:dyDescent="0.2">
      <c r="A25" s="895" t="s">
        <v>391</v>
      </c>
      <c r="B25" s="896"/>
      <c r="C25" s="897"/>
      <c r="D25" s="898"/>
      <c r="E25" s="898"/>
      <c r="F25" s="898"/>
      <c r="G25" s="898"/>
      <c r="H25" s="898"/>
      <c r="I25" s="898"/>
      <c r="J25" s="898"/>
      <c r="K25" s="899"/>
      <c r="L25" s="929" t="s">
        <v>752</v>
      </c>
      <c r="M25" s="928"/>
      <c r="N25" s="928"/>
      <c r="T25" s="198"/>
      <c r="U25" s="198"/>
      <c r="V25" s="198"/>
      <c r="W25" s="198"/>
    </row>
    <row r="26" spans="1:29" ht="30" customHeight="1" x14ac:dyDescent="0.2">
      <c r="A26" s="895" t="s">
        <v>392</v>
      </c>
      <c r="B26" s="896"/>
      <c r="C26" s="897"/>
      <c r="D26" s="898"/>
      <c r="E26" s="898"/>
      <c r="F26" s="898"/>
      <c r="G26" s="898"/>
      <c r="H26" s="898"/>
      <c r="I26" s="898"/>
      <c r="J26" s="898"/>
      <c r="K26" s="899"/>
      <c r="L26" s="929" t="s">
        <v>752</v>
      </c>
      <c r="M26" s="928"/>
      <c r="N26" s="928"/>
      <c r="T26" s="198"/>
      <c r="U26" s="198"/>
      <c r="V26" s="198"/>
      <c r="W26" s="198"/>
    </row>
    <row r="27" spans="1:29" ht="30" customHeight="1" x14ac:dyDescent="0.2">
      <c r="A27" s="895" t="s">
        <v>393</v>
      </c>
      <c r="B27" s="896"/>
      <c r="C27" s="897"/>
      <c r="D27" s="898"/>
      <c r="E27" s="898"/>
      <c r="F27" s="898"/>
      <c r="G27" s="898"/>
      <c r="H27" s="898"/>
      <c r="I27" s="898"/>
      <c r="J27" s="898"/>
      <c r="K27" s="899"/>
      <c r="L27" s="929" t="s">
        <v>752</v>
      </c>
      <c r="M27" s="928"/>
      <c r="N27" s="928"/>
      <c r="T27" s="198"/>
      <c r="U27" s="198"/>
      <c r="V27" s="198"/>
      <c r="W27" s="198"/>
    </row>
    <row r="28" spans="1:29" ht="30" customHeight="1" x14ac:dyDescent="0.2">
      <c r="A28" s="895" t="s">
        <v>394</v>
      </c>
      <c r="B28" s="896"/>
      <c r="C28" s="897"/>
      <c r="D28" s="898"/>
      <c r="E28" s="898"/>
      <c r="F28" s="898"/>
      <c r="G28" s="898"/>
      <c r="H28" s="898"/>
      <c r="I28" s="898"/>
      <c r="J28" s="898"/>
      <c r="K28" s="899"/>
      <c r="L28" s="929" t="s">
        <v>752</v>
      </c>
      <c r="M28" s="928"/>
      <c r="N28" s="928"/>
      <c r="T28" s="198"/>
      <c r="U28" s="198"/>
      <c r="V28" s="198"/>
      <c r="W28" s="198"/>
    </row>
    <row r="29" spans="1:29" ht="30" customHeight="1" x14ac:dyDescent="0.2">
      <c r="A29" s="895" t="s">
        <v>395</v>
      </c>
      <c r="B29" s="896"/>
      <c r="C29" s="897"/>
      <c r="D29" s="898"/>
      <c r="E29" s="898"/>
      <c r="F29" s="898"/>
      <c r="G29" s="898"/>
      <c r="H29" s="898"/>
      <c r="I29" s="898"/>
      <c r="J29" s="898"/>
      <c r="K29" s="899"/>
      <c r="L29" s="929" t="s">
        <v>752</v>
      </c>
      <c r="M29" s="928"/>
      <c r="N29" s="928"/>
      <c r="T29" s="198"/>
      <c r="U29" s="198"/>
      <c r="V29" s="198"/>
      <c r="W29" s="198"/>
    </row>
    <row r="30" spans="1:29" ht="30" customHeight="1" x14ac:dyDescent="0.2">
      <c r="A30" s="895" t="s">
        <v>396</v>
      </c>
      <c r="B30" s="896"/>
      <c r="C30" s="897"/>
      <c r="D30" s="898"/>
      <c r="E30" s="898"/>
      <c r="F30" s="898"/>
      <c r="G30" s="898"/>
      <c r="H30" s="898"/>
      <c r="I30" s="898"/>
      <c r="J30" s="898"/>
      <c r="K30" s="899"/>
      <c r="L30" s="929" t="s">
        <v>752</v>
      </c>
      <c r="M30" s="928"/>
      <c r="N30" s="928"/>
      <c r="T30" s="198"/>
      <c r="U30" s="198"/>
      <c r="V30" s="198"/>
      <c r="W30" s="198"/>
    </row>
    <row r="31" spans="1:29" ht="30" customHeight="1" x14ac:dyDescent="0.2">
      <c r="A31" s="895" t="s">
        <v>397</v>
      </c>
      <c r="B31" s="896"/>
      <c r="C31" s="897"/>
      <c r="D31" s="898"/>
      <c r="E31" s="898"/>
      <c r="F31" s="898"/>
      <c r="G31" s="898"/>
      <c r="H31" s="898"/>
      <c r="I31" s="898"/>
      <c r="J31" s="898"/>
      <c r="K31" s="899"/>
      <c r="L31" s="929" t="s">
        <v>752</v>
      </c>
      <c r="M31" s="928"/>
      <c r="N31" s="928"/>
      <c r="T31" s="198"/>
      <c r="U31" s="198"/>
      <c r="V31" s="198"/>
      <c r="W31" s="198"/>
    </row>
    <row r="32" spans="1:29" ht="30" customHeight="1" x14ac:dyDescent="0.2">
      <c r="A32" s="895" t="s">
        <v>398</v>
      </c>
      <c r="B32" s="896"/>
      <c r="C32" s="897"/>
      <c r="D32" s="898"/>
      <c r="E32" s="898"/>
      <c r="F32" s="898"/>
      <c r="G32" s="898"/>
      <c r="H32" s="898"/>
      <c r="I32" s="898"/>
      <c r="J32" s="898"/>
      <c r="K32" s="899"/>
      <c r="L32" s="929" t="s">
        <v>752</v>
      </c>
      <c r="M32" s="928"/>
      <c r="N32" s="928"/>
      <c r="T32" s="198"/>
      <c r="U32" s="198"/>
      <c r="V32" s="198"/>
      <c r="W32" s="198"/>
    </row>
    <row r="33" spans="1:23" ht="30" customHeight="1" x14ac:dyDescent="0.2">
      <c r="A33" s="895" t="s">
        <v>399</v>
      </c>
      <c r="B33" s="896"/>
      <c r="C33" s="897"/>
      <c r="D33" s="898"/>
      <c r="E33" s="898"/>
      <c r="F33" s="898"/>
      <c r="G33" s="898"/>
      <c r="H33" s="898"/>
      <c r="I33" s="898"/>
      <c r="J33" s="898"/>
      <c r="K33" s="899"/>
      <c r="L33" s="929" t="s">
        <v>752</v>
      </c>
      <c r="M33" s="928"/>
      <c r="N33" s="928"/>
      <c r="T33" s="198"/>
      <c r="U33" s="198"/>
      <c r="V33" s="198"/>
      <c r="W33" s="198"/>
    </row>
    <row r="34" spans="1:23" ht="30" customHeight="1" x14ac:dyDescent="0.2">
      <c r="A34" s="895" t="s">
        <v>400</v>
      </c>
      <c r="B34" s="896"/>
      <c r="C34" s="897"/>
      <c r="D34" s="898"/>
      <c r="E34" s="898"/>
      <c r="F34" s="898"/>
      <c r="G34" s="898"/>
      <c r="H34" s="898"/>
      <c r="I34" s="898"/>
      <c r="J34" s="898"/>
      <c r="K34" s="899"/>
      <c r="L34" s="929" t="s">
        <v>752</v>
      </c>
      <c r="M34" s="928"/>
      <c r="N34" s="928"/>
      <c r="T34" s="198"/>
      <c r="U34" s="198"/>
      <c r="V34" s="198"/>
      <c r="W34" s="198"/>
    </row>
    <row r="35" spans="1:23" ht="30" customHeight="1" x14ac:dyDescent="0.2">
      <c r="A35" s="895" t="s">
        <v>401</v>
      </c>
      <c r="B35" s="896"/>
      <c r="C35" s="897"/>
      <c r="D35" s="898"/>
      <c r="E35" s="898"/>
      <c r="F35" s="898"/>
      <c r="G35" s="898"/>
      <c r="H35" s="898"/>
      <c r="I35" s="898"/>
      <c r="J35" s="898"/>
      <c r="K35" s="899"/>
      <c r="L35" s="929" t="s">
        <v>752</v>
      </c>
      <c r="M35" s="928"/>
      <c r="N35" s="928"/>
      <c r="T35" s="198"/>
      <c r="U35" s="198"/>
      <c r="V35" s="198"/>
      <c r="W35" s="198"/>
    </row>
    <row r="36" spans="1:23" ht="30" customHeight="1" x14ac:dyDescent="0.2">
      <c r="A36" s="919" t="s">
        <v>402</v>
      </c>
      <c r="B36" s="920"/>
      <c r="C36" s="897"/>
      <c r="D36" s="898"/>
      <c r="E36" s="898"/>
      <c r="F36" s="898"/>
      <c r="G36" s="898"/>
      <c r="H36" s="898"/>
      <c r="I36" s="898"/>
      <c r="J36" s="898"/>
      <c r="K36" s="899"/>
      <c r="L36" s="929" t="s">
        <v>752</v>
      </c>
      <c r="M36" s="928"/>
      <c r="N36" s="928"/>
      <c r="T36" s="198"/>
      <c r="U36" s="198"/>
      <c r="V36" s="198"/>
      <c r="W36" s="198"/>
    </row>
    <row r="37" spans="1:23" ht="30" customHeight="1" x14ac:dyDescent="0.2">
      <c r="A37" s="895" t="s">
        <v>403</v>
      </c>
      <c r="B37" s="896"/>
      <c r="C37" s="897"/>
      <c r="D37" s="898"/>
      <c r="E37" s="898"/>
      <c r="F37" s="898"/>
      <c r="G37" s="898"/>
      <c r="H37" s="898"/>
      <c r="I37" s="898"/>
      <c r="J37" s="898"/>
      <c r="K37" s="899"/>
      <c r="L37" s="929" t="s">
        <v>752</v>
      </c>
      <c r="M37" s="928"/>
      <c r="N37" s="928"/>
      <c r="T37" s="198"/>
      <c r="U37" s="198"/>
      <c r="V37" s="198"/>
      <c r="W37" s="198"/>
    </row>
    <row r="38" spans="1:23" ht="30" customHeight="1" thickBot="1" x14ac:dyDescent="0.25">
      <c r="A38" s="914" t="s">
        <v>404</v>
      </c>
      <c r="B38" s="915"/>
      <c r="C38" s="916"/>
      <c r="D38" s="917"/>
      <c r="E38" s="917"/>
      <c r="F38" s="917"/>
      <c r="G38" s="917"/>
      <c r="H38" s="917"/>
      <c r="I38" s="917"/>
      <c r="J38" s="917"/>
      <c r="K38" s="918"/>
      <c r="L38" s="929" t="s">
        <v>752</v>
      </c>
      <c r="M38" s="928"/>
      <c r="N38" s="928"/>
      <c r="T38" s="198"/>
      <c r="U38" s="198"/>
      <c r="V38" s="198"/>
      <c r="W38" s="198"/>
    </row>
    <row r="39" spans="1:23" x14ac:dyDescent="0.2">
      <c r="A39" s="874" t="s">
        <v>757</v>
      </c>
      <c r="B39" s="874"/>
      <c r="C39" s="874"/>
      <c r="D39" s="874"/>
      <c r="E39" s="874"/>
      <c r="F39" s="874"/>
      <c r="G39" s="874"/>
      <c r="H39" s="874"/>
      <c r="I39" s="874"/>
      <c r="J39" s="874"/>
      <c r="K39" s="874"/>
      <c r="L39" s="874"/>
      <c r="M39" s="874"/>
      <c r="N39" s="874"/>
    </row>
  </sheetData>
  <sheetProtection sheet="1" objects="1" scenarios="1"/>
  <mergeCells count="93">
    <mergeCell ref="A22:B22"/>
    <mergeCell ref="L38:N38"/>
    <mergeCell ref="L33:N33"/>
    <mergeCell ref="L34:N34"/>
    <mergeCell ref="L35:N35"/>
    <mergeCell ref="L36:N36"/>
    <mergeCell ref="L37:N37"/>
    <mergeCell ref="L28:N28"/>
    <mergeCell ref="L29:N29"/>
    <mergeCell ref="L30:N30"/>
    <mergeCell ref="L31:N31"/>
    <mergeCell ref="L32:N32"/>
    <mergeCell ref="L23:N23"/>
    <mergeCell ref="L24:N24"/>
    <mergeCell ref="L27:N27"/>
    <mergeCell ref="A27:B27"/>
    <mergeCell ref="C27:K27"/>
    <mergeCell ref="C24:K24"/>
    <mergeCell ref="A23:B23"/>
    <mergeCell ref="A26:B26"/>
    <mergeCell ref="A25:B25"/>
    <mergeCell ref="A24:B24"/>
    <mergeCell ref="C26:K26"/>
    <mergeCell ref="L26:N26"/>
    <mergeCell ref="C22:K22"/>
    <mergeCell ref="L9:N14"/>
    <mergeCell ref="L6:N8"/>
    <mergeCell ref="L25:N25"/>
    <mergeCell ref="L17:N17"/>
    <mergeCell ref="L15:N15"/>
    <mergeCell ref="G12:K12"/>
    <mergeCell ref="L16:N16"/>
    <mergeCell ref="C25:K25"/>
    <mergeCell ref="C23:K23"/>
    <mergeCell ref="L18:N18"/>
    <mergeCell ref="L20:N20"/>
    <mergeCell ref="L21:N21"/>
    <mergeCell ref="L22:N22"/>
    <mergeCell ref="I4:K4"/>
    <mergeCell ref="A9:B10"/>
    <mergeCell ref="J5:K5"/>
    <mergeCell ref="G6:K6"/>
    <mergeCell ref="L1:N1"/>
    <mergeCell ref="L4:N4"/>
    <mergeCell ref="L5:N5"/>
    <mergeCell ref="A4:H4"/>
    <mergeCell ref="A5:B5"/>
    <mergeCell ref="A1:J1"/>
    <mergeCell ref="L2:N2"/>
    <mergeCell ref="L3:N3"/>
    <mergeCell ref="A38:B38"/>
    <mergeCell ref="C38:K38"/>
    <mergeCell ref="A36:B36"/>
    <mergeCell ref="C36:K36"/>
    <mergeCell ref="A37:B37"/>
    <mergeCell ref="C37:K37"/>
    <mergeCell ref="A34:B34"/>
    <mergeCell ref="C34:K34"/>
    <mergeCell ref="A35:B35"/>
    <mergeCell ref="C35:K35"/>
    <mergeCell ref="A2:K2"/>
    <mergeCell ref="C5:I5"/>
    <mergeCell ref="A15:B16"/>
    <mergeCell ref="A12:B13"/>
    <mergeCell ref="A14:B14"/>
    <mergeCell ref="G13:K14"/>
    <mergeCell ref="G10:K11"/>
    <mergeCell ref="G9:K9"/>
    <mergeCell ref="C18:K18"/>
    <mergeCell ref="A3:K3"/>
    <mergeCell ref="A28:B28"/>
    <mergeCell ref="C28:K28"/>
    <mergeCell ref="A33:B33"/>
    <mergeCell ref="C31:K31"/>
    <mergeCell ref="A31:B31"/>
    <mergeCell ref="C32:K32"/>
    <mergeCell ref="A32:B32"/>
    <mergeCell ref="A39:N39"/>
    <mergeCell ref="A19:N19"/>
    <mergeCell ref="A17:B17"/>
    <mergeCell ref="A8:B8"/>
    <mergeCell ref="A11:B11"/>
    <mergeCell ref="G7:K8"/>
    <mergeCell ref="A21:K21"/>
    <mergeCell ref="A6:B7"/>
    <mergeCell ref="A18:B18"/>
    <mergeCell ref="J20:K20"/>
    <mergeCell ref="A20:I20"/>
    <mergeCell ref="A29:B29"/>
    <mergeCell ref="A30:B30"/>
    <mergeCell ref="C29:K29"/>
    <mergeCell ref="C30:K30"/>
    <mergeCell ref="C33:K33"/>
  </mergeCells>
  <conditionalFormatting sqref="C8">
    <cfRule type="expression" dxfId="120" priority="26" stopIfTrue="1">
      <formula>IF(C8=0,TRUE,FALSE)</formula>
    </cfRule>
  </conditionalFormatting>
  <conditionalFormatting sqref="D8">
    <cfRule type="expression" dxfId="119" priority="25" stopIfTrue="1">
      <formula>IF(D8=0,TRUE,FALSE)</formula>
    </cfRule>
  </conditionalFormatting>
  <conditionalFormatting sqref="E8">
    <cfRule type="expression" dxfId="118" priority="24" stopIfTrue="1">
      <formula>IF(E8=0,TRUE,FALSE)</formula>
    </cfRule>
  </conditionalFormatting>
  <conditionalFormatting sqref="F8">
    <cfRule type="expression" dxfId="117" priority="23" stopIfTrue="1">
      <formula>IF(F8=0,TRUE,FALSE)</formula>
    </cfRule>
  </conditionalFormatting>
  <conditionalFormatting sqref="C11 C13:C14">
    <cfRule type="expression" dxfId="116" priority="22" stopIfTrue="1">
      <formula>IF(C11=0,TRUE,FALSE)</formula>
    </cfRule>
  </conditionalFormatting>
  <conditionalFormatting sqref="D11 D13:D14">
    <cfRule type="expression" dxfId="115" priority="21" stopIfTrue="1">
      <formula>IF(D11=0,TRUE,FALSE)</formula>
    </cfRule>
  </conditionalFormatting>
  <conditionalFormatting sqref="E11 E13:E14">
    <cfRule type="expression" dxfId="114" priority="20" stopIfTrue="1">
      <formula>IF(E11=0,TRUE,FALSE)</formula>
    </cfRule>
  </conditionalFormatting>
  <conditionalFormatting sqref="C17">
    <cfRule type="expression" dxfId="113" priority="19" stopIfTrue="1">
      <formula>IF(C17=0,TRUE,FALSE)</formula>
    </cfRule>
  </conditionalFormatting>
  <conditionalFormatting sqref="D17">
    <cfRule type="expression" dxfId="112" priority="18" stopIfTrue="1">
      <formula>IF(D17=0,TRUE,FALSE)</formula>
    </cfRule>
  </conditionalFormatting>
  <conditionalFormatting sqref="E17">
    <cfRule type="expression" dxfId="111" priority="17" stopIfTrue="1">
      <formula>IF(E17=0,TRUE,FALSE)</formula>
    </cfRule>
  </conditionalFormatting>
  <conditionalFormatting sqref="F17">
    <cfRule type="expression" dxfId="110" priority="16" stopIfTrue="1">
      <formula>IF(F17=0,TRUE,FALSE)</formula>
    </cfRule>
  </conditionalFormatting>
  <conditionalFormatting sqref="G17">
    <cfRule type="expression" dxfId="109" priority="15" stopIfTrue="1">
      <formula>IF(G17=0,TRUE,FALSE)</formula>
    </cfRule>
  </conditionalFormatting>
  <conditionalFormatting sqref="H17">
    <cfRule type="expression" dxfId="108" priority="14" stopIfTrue="1">
      <formula>IF(H17=0,TRUE,FALSE)</formula>
    </cfRule>
  </conditionalFormatting>
  <conditionalFormatting sqref="I17">
    <cfRule type="expression" dxfId="107" priority="13" stopIfTrue="1">
      <formula>IF(I17=0,TRUE,FALSE)</formula>
    </cfRule>
  </conditionalFormatting>
  <conditionalFormatting sqref="J17">
    <cfRule type="expression" dxfId="106" priority="12" stopIfTrue="1">
      <formula>IF(J17=0,TRUE,FALSE)</formula>
    </cfRule>
  </conditionalFormatting>
  <conditionalFormatting sqref="K17">
    <cfRule type="expression" dxfId="105" priority="11" stopIfTrue="1">
      <formula>IF(K17=0,TRUE,FALSE)</formula>
    </cfRule>
  </conditionalFormatting>
  <conditionalFormatting sqref="G10:K10">
    <cfRule type="expression" dxfId="104" priority="9" stopIfTrue="1">
      <formula>IF(G10="Please provide Certification Expiration date",TRUE,FALSE)</formula>
    </cfRule>
  </conditionalFormatting>
  <conditionalFormatting sqref="C18:K18">
    <cfRule type="expression" dxfId="103" priority="8" stopIfTrue="1">
      <formula>IF(C18="Please provide Certification Expiration date",TRUE, FALSE)</formula>
    </cfRule>
  </conditionalFormatting>
  <conditionalFormatting sqref="G7:K8">
    <cfRule type="expression" dxfId="102" priority="7" stopIfTrue="1">
      <formula>IF(G7="Please provide Certification Expiration date",TRUE,FALSE)</formula>
    </cfRule>
  </conditionalFormatting>
  <conditionalFormatting sqref="G9:K9">
    <cfRule type="expression" dxfId="101" priority="4" stopIfTrue="1">
      <formula>IF(G9="Please indicate Accredited Modalities and provide Certification Expiration dates",TRUE,FALSE)</formula>
    </cfRule>
  </conditionalFormatting>
  <conditionalFormatting sqref="G13:K14">
    <cfRule type="expression" dxfId="100" priority="3" stopIfTrue="1">
      <formula>IF(G13="Please provide Certification Expiration date",TRUE,FALSE)</formula>
    </cfRule>
  </conditionalFormatting>
  <conditionalFormatting sqref="F14">
    <cfRule type="expression" dxfId="99" priority="1" stopIfTrue="1">
      <formula>IF(F14=0,TRUE,FALSE)</formula>
    </cfRule>
  </conditionalFormatting>
  <hyperlinks>
    <hyperlink ref="A25:B25" location="Section_2" display="Section 2" xr:uid="{00000000-0004-0000-0600-000000000000}"/>
    <hyperlink ref="A24:B24" location="fixed" display="Section 1" xr:uid="{00000000-0004-0000-0600-000001000000}"/>
    <hyperlink ref="A23:B23" location="accreditation" display="Accreditation" xr:uid="{00000000-0004-0000-0600-000002000000}"/>
    <hyperlink ref="J5:K5" location="text_accred" display="Document Explanations if needed" xr:uid="{00000000-0004-0000-0600-000003000000}"/>
    <hyperlink ref="A26:B26" location="Section_3" display="Section 3" xr:uid="{00000000-0004-0000-0600-000004000000}"/>
    <hyperlink ref="A27:B27" location="portable" display="Section 4" xr:uid="{00000000-0004-0000-0600-000005000000}"/>
    <hyperlink ref="A28:B28" location="Section_5" display="Section 5" xr:uid="{00000000-0004-0000-0600-000006000000}"/>
    <hyperlink ref="A29:B29" location="Section_6" display="Section 6" xr:uid="{00000000-0004-0000-0600-000007000000}"/>
    <hyperlink ref="A30:B30" location="mobile" display="Section 7" xr:uid="{00000000-0004-0000-0600-000008000000}"/>
    <hyperlink ref="A31:B31" location="Section_8" display="Section 8" xr:uid="{00000000-0004-0000-0600-000009000000}"/>
    <hyperlink ref="A32:B32" location="Section_9" display="Section 9" xr:uid="{00000000-0004-0000-0600-00000A000000}"/>
    <hyperlink ref="A33:B33" location="lease_detail" display="Section 10" xr:uid="{00000000-0004-0000-0600-00000B000000}"/>
    <hyperlink ref="A34:B34" location="mobile_locations" display="Section 11" xr:uid="{00000000-0004-0000-0600-00000C000000}"/>
    <hyperlink ref="A35:B35" location="economic_interest" display="Section 12" xr:uid="{00000000-0004-0000-0600-00000D000000}"/>
    <hyperlink ref="A36:B36" location="Section_13" display="Section 13" xr:uid="{00000000-0004-0000-0600-00000E000000}"/>
    <hyperlink ref="A37:B37" location="Section_14" display="Section 14" xr:uid="{00000000-0004-0000-0600-00000F000000}"/>
    <hyperlink ref="A38:B38" location="Section_15" display="Section 15" xr:uid="{00000000-0004-0000-0600-000010000000}"/>
    <hyperlink ref="L15:N15" r:id="rId1" location="stat.144.1225" display="Minnesota Statutes 144.1225" xr:uid="{00000000-0004-0000-0600-000011000000}"/>
  </hyperlinks>
  <printOptions horizontalCentered="1"/>
  <pageMargins left="0.75" right="0.75" top="1" bottom="1" header="0.5" footer="0.5"/>
  <pageSetup scale="51" fitToHeight="2" orientation="portrait" r:id="rId2"/>
  <headerFooter alignWithMargins="0">
    <oddFooter>&amp;L&amp;"Calibri,Regular"Diagnostic Imaging Facility Utilization Report
Fiscal Year 2024
&amp;C&amp;"Calibri,Regular"&amp;P of &amp;N&amp;R&amp;"Calibri,Regular"Minnesota Department of Health
Phone 651-201-3572
health.hccis@state.mn.us</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N18"/>
  <sheetViews>
    <sheetView zoomScale="90" zoomScaleNormal="90" workbookViewId="0">
      <selection sqref="A1:S1"/>
    </sheetView>
  </sheetViews>
  <sheetFormatPr defaultColWidth="8.85546875" defaultRowHeight="12.75" x14ac:dyDescent="0.2"/>
  <cols>
    <col min="1" max="2" width="8.85546875" style="447"/>
    <col min="3" max="11" width="9.5703125" style="447" customWidth="1"/>
    <col min="12" max="16384" width="8.85546875" style="447"/>
  </cols>
  <sheetData>
    <row r="1" spans="1:14" ht="13.5" customHeight="1" thickBot="1" x14ac:dyDescent="0.45">
      <c r="A1" s="195" t="e">
        <f>CONCATENATE('Demog Contact'!D$5," ",'Demog Contact'!D$6)</f>
        <v>#N/A</v>
      </c>
      <c r="B1" s="196"/>
      <c r="C1" s="196"/>
      <c r="D1" s="196"/>
      <c r="E1" s="196"/>
      <c r="F1" s="196"/>
      <c r="G1" s="196"/>
      <c r="H1" s="196"/>
      <c r="I1" s="196"/>
      <c r="J1" s="196"/>
      <c r="K1" s="197">
        <f>('Demog Contact'!D5)</f>
        <v>0</v>
      </c>
      <c r="L1" s="446"/>
      <c r="M1" s="446"/>
      <c r="N1" s="446"/>
    </row>
    <row r="2" spans="1:14" ht="21" x14ac:dyDescent="0.35">
      <c r="A2" s="961" t="s">
        <v>408</v>
      </c>
      <c r="B2" s="962"/>
      <c r="C2" s="962"/>
      <c r="D2" s="962"/>
      <c r="E2" s="962"/>
      <c r="F2" s="962"/>
      <c r="G2" s="962"/>
      <c r="H2" s="962"/>
      <c r="I2" s="962"/>
      <c r="J2" s="962"/>
      <c r="K2" s="963"/>
      <c r="L2" s="446"/>
      <c r="M2" s="446"/>
      <c r="N2" s="446"/>
    </row>
    <row r="3" spans="1:14" ht="12.75" customHeight="1" x14ac:dyDescent="0.2">
      <c r="A3" s="964" t="s">
        <v>439</v>
      </c>
      <c r="B3" s="965"/>
      <c r="C3" s="965"/>
      <c r="D3" s="965"/>
      <c r="E3" s="965"/>
      <c r="F3" s="965"/>
      <c r="G3" s="965"/>
      <c r="H3" s="965"/>
      <c r="I3" s="965"/>
      <c r="J3" s="965"/>
      <c r="K3" s="966"/>
      <c r="L3" s="446"/>
      <c r="M3" s="446"/>
      <c r="N3" s="446"/>
    </row>
    <row r="4" spans="1:14" x14ac:dyDescent="0.2">
      <c r="A4" s="967"/>
      <c r="B4" s="968"/>
      <c r="C4" s="968"/>
      <c r="D4" s="968"/>
      <c r="E4" s="968"/>
      <c r="F4" s="968"/>
      <c r="G4" s="968"/>
      <c r="H4" s="968"/>
      <c r="I4" s="921" t="str">
        <f>CONCATENATE("Fiscal Year ",'Demog Contact'!L1)</f>
        <v>Fiscal Year 2024</v>
      </c>
      <c r="J4" s="921"/>
      <c r="K4" s="922"/>
      <c r="L4" s="448"/>
      <c r="M4" s="448"/>
      <c r="N4" s="448"/>
    </row>
    <row r="5" spans="1:14" ht="12.75" customHeight="1" x14ac:dyDescent="0.2">
      <c r="A5" s="934" t="s">
        <v>376</v>
      </c>
      <c r="B5" s="935"/>
      <c r="C5" s="903" t="s">
        <v>477</v>
      </c>
      <c r="D5" s="904"/>
      <c r="E5" s="904"/>
      <c r="F5" s="904"/>
      <c r="G5" s="904"/>
      <c r="H5" s="904"/>
      <c r="I5" s="904"/>
      <c r="J5" s="923" t="s">
        <v>409</v>
      </c>
      <c r="K5" s="924"/>
      <c r="L5" s="448"/>
      <c r="M5" s="448"/>
      <c r="N5" s="448"/>
    </row>
    <row r="6" spans="1:14" ht="39.6" customHeight="1" x14ac:dyDescent="0.2">
      <c r="A6" s="884" t="s">
        <v>377</v>
      </c>
      <c r="B6" s="969"/>
      <c r="C6" s="203" t="s">
        <v>380</v>
      </c>
      <c r="D6" s="203" t="s">
        <v>381</v>
      </c>
      <c r="E6" s="203" t="s">
        <v>378</v>
      </c>
      <c r="F6" s="203" t="s">
        <v>382</v>
      </c>
      <c r="G6" s="204"/>
      <c r="H6" s="204"/>
      <c r="I6" s="204"/>
      <c r="J6" s="205"/>
      <c r="K6" s="206"/>
      <c r="L6" s="449"/>
      <c r="M6" s="449"/>
      <c r="N6" s="449"/>
    </row>
    <row r="7" spans="1:14" ht="12.75" customHeight="1" x14ac:dyDescent="0.2">
      <c r="A7" s="886"/>
      <c r="B7" s="970"/>
      <c r="C7" s="440" t="e">
        <f>IF(EXACT(VLOOKUP($K$1,ID_list,108,FALSE),"128"),"X","")</f>
        <v>#N/A</v>
      </c>
      <c r="D7" s="163" t="e">
        <f>IF(EXACT(VLOOKUP($K$1,ID_list,110,FALSE),"131"),"X","")</f>
        <v>#N/A</v>
      </c>
      <c r="E7" s="163" t="e">
        <f>IF(EXACT(VLOOKUP($K$1,ID_list,112,FALSE),"129"),"X","")</f>
        <v>#N/A</v>
      </c>
      <c r="F7" s="209" t="e">
        <f>IF(EXACT(VLOOKUP($K$1,ID_list,114,FALSE),"130"),"X","")</f>
        <v>#N/A</v>
      </c>
      <c r="G7" s="971" t="str">
        <f>IF(OR(AND(T7=1,T8=0),AND(U7=1,U8=0),AND(V7=1,V8=0),AND(W7=1,W8=0)),"Please provide Certification Expiration date","")</f>
        <v/>
      </c>
      <c r="H7" s="971"/>
      <c r="I7" s="971"/>
      <c r="J7" s="971"/>
      <c r="K7" s="972"/>
      <c r="L7" s="449"/>
      <c r="M7" s="449"/>
      <c r="N7" s="449"/>
    </row>
    <row r="8" spans="1:14" ht="12.75" customHeight="1" x14ac:dyDescent="0.2">
      <c r="A8" s="876" t="s">
        <v>405</v>
      </c>
      <c r="B8" s="975"/>
      <c r="C8" s="211" t="e">
        <f>VLOOKUP($K$1,ID_list,109,FALSE)</f>
        <v>#N/A</v>
      </c>
      <c r="D8" s="211" t="e">
        <f>VLOOKUP($K$1,ID_list,111,FALSE)</f>
        <v>#N/A</v>
      </c>
      <c r="E8" s="211" t="e">
        <f>VLOOKUP($K$1,ID_list,113,FALSE)</f>
        <v>#N/A</v>
      </c>
      <c r="F8" s="211" t="e">
        <f>VLOOKUP($K$1,ID_list,115,FALSE)</f>
        <v>#N/A</v>
      </c>
      <c r="G8" s="973"/>
      <c r="H8" s="973"/>
      <c r="I8" s="973"/>
      <c r="J8" s="973"/>
      <c r="K8" s="974"/>
      <c r="L8" s="449"/>
      <c r="M8" s="449"/>
      <c r="N8" s="449"/>
    </row>
    <row r="9" spans="1:14" ht="39.6" customHeight="1" x14ac:dyDescent="0.2">
      <c r="A9" s="884" t="s">
        <v>379</v>
      </c>
      <c r="B9" s="969"/>
      <c r="C9" s="203" t="s">
        <v>447</v>
      </c>
      <c r="D9" s="203" t="s">
        <v>448</v>
      </c>
      <c r="E9" s="203" t="s">
        <v>449</v>
      </c>
      <c r="F9" s="214" t="s">
        <v>496</v>
      </c>
      <c r="G9" s="976" t="str">
        <f>IF(AND(T5&gt;0,U5=0),"Please indicate Accredited Modalities and provide Certification Expiration dates","")</f>
        <v/>
      </c>
      <c r="H9" s="977"/>
      <c r="I9" s="977"/>
      <c r="J9" s="977"/>
      <c r="K9" s="978"/>
      <c r="L9" s="449"/>
      <c r="M9" s="449"/>
      <c r="N9" s="449"/>
    </row>
    <row r="10" spans="1:14" ht="27" customHeight="1" x14ac:dyDescent="0.2">
      <c r="A10" s="886"/>
      <c r="B10" s="970"/>
      <c r="C10" s="440" t="e">
        <f>IF(EXACT(VLOOKUP($K$1,ID_list,116,FALSE),"132"),"X","")</f>
        <v>#N/A</v>
      </c>
      <c r="D10" s="163" t="e">
        <f>IF(EXACT(VLOOKUP($K$1,ID_list,118,FALSE),"133"),"X","")</f>
        <v>#N/A</v>
      </c>
      <c r="E10" s="163" t="e">
        <f>IF(EXACT(VLOOKUP($K$1,ID_list,120,FALSE),"134"),"X","")</f>
        <v>#N/A</v>
      </c>
      <c r="F10" s="218"/>
      <c r="G10" s="979" t="str">
        <f>IF(OR(AND(T10=1,T11=0),AND(U10=1,U11=0),AND(V10=1,V11=0),AND(W10=1,W11=0)),"Please provide Certification Expiration date","")</f>
        <v/>
      </c>
      <c r="H10" s="979"/>
      <c r="I10" s="979"/>
      <c r="J10" s="979"/>
      <c r="K10" s="980"/>
      <c r="L10" s="449"/>
      <c r="M10" s="449"/>
      <c r="N10" s="449"/>
    </row>
    <row r="11" spans="1:14" ht="12.75" customHeight="1" x14ac:dyDescent="0.2">
      <c r="A11" s="876" t="s">
        <v>405</v>
      </c>
      <c r="B11" s="975"/>
      <c r="C11" s="211" t="e">
        <f>VLOOKUP($K$1,ID_list,117,FALSE)</f>
        <v>#N/A</v>
      </c>
      <c r="D11" s="211" t="e">
        <f>VLOOKUP($K$1,ID_list,119,FALSE)</f>
        <v>#N/A</v>
      </c>
      <c r="E11" s="211" t="e">
        <f>VLOOKUP($K$1,ID_list,121,FALSE)</f>
        <v>#N/A</v>
      </c>
      <c r="F11" s="218"/>
      <c r="G11" s="981"/>
      <c r="H11" s="981"/>
      <c r="I11" s="981"/>
      <c r="J11" s="981"/>
      <c r="K11" s="982"/>
      <c r="L11" s="449"/>
      <c r="M11" s="449"/>
      <c r="N11" s="449"/>
    </row>
    <row r="12" spans="1:14" ht="39.6" customHeight="1" x14ac:dyDescent="0.2">
      <c r="A12" s="884" t="s">
        <v>704</v>
      </c>
      <c r="B12" s="885"/>
      <c r="C12" s="203" t="s">
        <v>269</v>
      </c>
      <c r="D12" s="203" t="s">
        <v>270</v>
      </c>
      <c r="E12" s="203" t="s">
        <v>272</v>
      </c>
      <c r="F12" s="203" t="s">
        <v>274</v>
      </c>
      <c r="G12" s="441"/>
      <c r="H12" s="442"/>
      <c r="I12" s="442"/>
      <c r="J12" s="442"/>
      <c r="K12" s="443"/>
      <c r="L12" s="450"/>
      <c r="M12" s="450"/>
      <c r="N12" s="450"/>
    </row>
    <row r="13" spans="1:14" ht="12.75" customHeight="1" x14ac:dyDescent="0.2">
      <c r="A13" s="886"/>
      <c r="B13" s="887"/>
      <c r="C13" s="211" t="e">
        <f>IF(EXACT(VLOOKUP($K$1,ID_list,140,FALSE),"215"),"X","")</f>
        <v>#N/A</v>
      </c>
      <c r="D13" s="211" t="e">
        <f>IF(EXACT(VLOOKUP($K$1,ID_list,142,FALSE),"216"),"X","")</f>
        <v>#N/A</v>
      </c>
      <c r="E13" s="211" t="e">
        <f>IF(EXACT(VLOOKUP($K$1,ID_list,144,FALSE),"217"),"X","")</f>
        <v>#N/A</v>
      </c>
      <c r="F13" s="218" t="e">
        <f>IF(EXACT(VLOOKUP($K$1,ID_list,146,FALSE),"218"),"X","")</f>
        <v>#N/A</v>
      </c>
      <c r="G13" s="983" t="str">
        <f>IF(OR(AND(T13=1,T14=0),AND(U13=1,U14=0),AND(V13=1,V14=0),AND(W13=1,W14=0)),
"Please provide Certification Expiration date","")</f>
        <v/>
      </c>
      <c r="H13" s="979"/>
      <c r="I13" s="979"/>
      <c r="J13" s="979"/>
      <c r="K13" s="980"/>
      <c r="L13" s="450"/>
      <c r="M13" s="450"/>
      <c r="N13" s="450"/>
    </row>
    <row r="14" spans="1:14" ht="13.5" customHeight="1" x14ac:dyDescent="0.2">
      <c r="A14" s="876" t="s">
        <v>405</v>
      </c>
      <c r="B14" s="877"/>
      <c r="C14" s="211" t="e">
        <f>VLOOKUP($K$1,ID_list,141,FALSE)</f>
        <v>#N/A</v>
      </c>
      <c r="D14" s="211" t="e">
        <f>VLOOKUP($K$1,ID_list,143,FALSE)</f>
        <v>#N/A</v>
      </c>
      <c r="E14" s="211" t="e">
        <f>VLOOKUP($K$1,ID_list,145,FALSE)</f>
        <v>#N/A</v>
      </c>
      <c r="F14" s="211" t="e">
        <f>VLOOKUP($K$1,ID_list,147,FALSE)</f>
        <v>#N/A</v>
      </c>
      <c r="G14" s="984"/>
      <c r="H14" s="981"/>
      <c r="I14" s="981"/>
      <c r="J14" s="981"/>
      <c r="K14" s="982"/>
      <c r="L14" s="450"/>
      <c r="M14" s="450"/>
      <c r="N14" s="450"/>
    </row>
    <row r="15" spans="1:14" ht="25.5" customHeight="1" x14ac:dyDescent="0.2">
      <c r="A15" s="884" t="s">
        <v>386</v>
      </c>
      <c r="B15" s="969"/>
      <c r="C15" s="203" t="s">
        <v>384</v>
      </c>
      <c r="D15" s="203" t="s">
        <v>269</v>
      </c>
      <c r="E15" s="203" t="s">
        <v>270</v>
      </c>
      <c r="F15" s="203" t="s">
        <v>272</v>
      </c>
      <c r="G15" s="220" t="s">
        <v>383</v>
      </c>
      <c r="H15" s="203" t="s">
        <v>411</v>
      </c>
      <c r="I15" s="203" t="s">
        <v>412</v>
      </c>
      <c r="J15" s="221" t="s">
        <v>385</v>
      </c>
      <c r="K15" s="222" t="s">
        <v>387</v>
      </c>
      <c r="L15" s="446"/>
      <c r="M15" s="446"/>
      <c r="N15" s="446"/>
    </row>
    <row r="16" spans="1:14" x14ac:dyDescent="0.2">
      <c r="A16" s="886"/>
      <c r="B16" s="970"/>
      <c r="C16" s="440" t="e">
        <f>IF(EXACT(VLOOKUP($K$1,ID_list,122,FALSE),"140"),"X","")</f>
        <v>#N/A</v>
      </c>
      <c r="D16" s="440" t="e">
        <f>IF(EXACT(VLOOKUP($K$1,ID_list,124,FALSE),"141"),"X","")</f>
        <v>#N/A</v>
      </c>
      <c r="E16" s="440" t="e">
        <f>IF(EXACT(VLOOKUP($K$1,ID_list,126,FALSE),"143"),"X","")</f>
        <v>#N/A</v>
      </c>
      <c r="F16" s="224" t="e">
        <f>IF(EXACT(VLOOKUP($K$1,ID_list,128,FALSE),"135"),"X","")</f>
        <v>#N/A</v>
      </c>
      <c r="G16" s="440" t="e">
        <f>IF(EXACT(VLOOKUP($K$1,ID_list,130,FALSE),"136"),"X","")</f>
        <v>#N/A</v>
      </c>
      <c r="H16" s="440" t="e">
        <f>IF(EXACT(VLOOKUP($K$1,ID_list,132,FALSE),"137"),"X","")</f>
        <v>#N/A</v>
      </c>
      <c r="I16" s="440" t="e">
        <f>IF(EXACT(VLOOKUP($K$1,ID_list,134,FALSE),"142"),"X","")</f>
        <v>#N/A</v>
      </c>
      <c r="J16" s="225" t="e">
        <f>IF(EXACT(VLOOKUP($K$1,ID_list,136,FALSE),"138"),"X","")</f>
        <v>#N/A</v>
      </c>
      <c r="K16" s="224" t="e">
        <f>IF(EXACT(VLOOKUP($K$1,ID_list,138,FALSE),"139"),"X","")</f>
        <v>#N/A</v>
      </c>
    </row>
    <row r="17" spans="1:11" ht="13.5" thickBot="1" x14ac:dyDescent="0.25">
      <c r="A17" s="985" t="s">
        <v>405</v>
      </c>
      <c r="B17" s="986"/>
      <c r="C17" s="226" t="e">
        <f>VLOOKUP($K$1,ID_list,123,FALSE)</f>
        <v>#N/A</v>
      </c>
      <c r="D17" s="226" t="e">
        <f>VLOOKUP($K$1,ID_list,125,FALSE)</f>
        <v>#N/A</v>
      </c>
      <c r="E17" s="226" t="e">
        <f>VLOOKUP($K$1,ID_list,127,FALSE)</f>
        <v>#N/A</v>
      </c>
      <c r="F17" s="226" t="e">
        <f>VLOOKUP($K$1,ID_list,129,FALSE)</f>
        <v>#N/A</v>
      </c>
      <c r="G17" s="227" t="e">
        <f>VLOOKUP($K$1,ID_list,131,FALSE)</f>
        <v>#N/A</v>
      </c>
      <c r="H17" s="227" t="e">
        <f>VLOOKUP($K$1,ID_list,133,FALSE)</f>
        <v>#N/A</v>
      </c>
      <c r="I17" s="227" t="e">
        <f>VLOOKUP($K$1,ID_list,135,FALSE)</f>
        <v>#N/A</v>
      </c>
      <c r="J17" s="228" t="e">
        <f>VLOOKUP($K$1,ID_list,137,FALSE)</f>
        <v>#N/A</v>
      </c>
      <c r="K17" s="229" t="e">
        <f>VLOOKUP($K$1,ID_list,139,FALSE)</f>
        <v>#N/A</v>
      </c>
    </row>
    <row r="18" spans="1:11" ht="13.5" thickBot="1" x14ac:dyDescent="0.25">
      <c r="A18" s="231"/>
      <c r="B18" s="232"/>
      <c r="C18" s="959" t="str">
        <f>IF(OR(AND(T16=1,T17=0),AND(U16=1,U17=0),AND(V16=1,V17=0),AND(W16=1,W17=0),AND(X16=1,X17=0),AND(Y16=1,Y17=0),AND(Z16=1,Z17=0),AND(AA16=1,AA17=0),AND(AB16=1,AB17=0)),"Please provide Certification Expiration date","")</f>
        <v/>
      </c>
      <c r="D18" s="959"/>
      <c r="E18" s="959"/>
      <c r="F18" s="959"/>
      <c r="G18" s="959"/>
      <c r="H18" s="959"/>
      <c r="I18" s="959"/>
      <c r="J18" s="959"/>
      <c r="K18" s="960"/>
    </row>
  </sheetData>
  <sheetProtection sheet="1" objects="1" scenarios="1"/>
  <mergeCells count="20">
    <mergeCell ref="A9:B10"/>
    <mergeCell ref="A11:B11"/>
    <mergeCell ref="G13:K14"/>
    <mergeCell ref="A17:B17"/>
    <mergeCell ref="C18:K18"/>
    <mergeCell ref="A2:K2"/>
    <mergeCell ref="A3:K3"/>
    <mergeCell ref="A4:H4"/>
    <mergeCell ref="I4:K4"/>
    <mergeCell ref="A5:B5"/>
    <mergeCell ref="A6:B7"/>
    <mergeCell ref="J5:K5"/>
    <mergeCell ref="G7:K8"/>
    <mergeCell ref="A15:B16"/>
    <mergeCell ref="A8:B8"/>
    <mergeCell ref="C5:I5"/>
    <mergeCell ref="G9:K9"/>
    <mergeCell ref="G10:K11"/>
    <mergeCell ref="A12:B13"/>
    <mergeCell ref="A14:B14"/>
  </mergeCells>
  <conditionalFormatting sqref="E8">
    <cfRule type="expression" dxfId="98" priority="20" stopIfTrue="1">
      <formula>IF(E8=0,TRUE,FALSE)</formula>
    </cfRule>
  </conditionalFormatting>
  <conditionalFormatting sqref="F8">
    <cfRule type="expression" dxfId="97" priority="19" stopIfTrue="1">
      <formula>IF(F8=0,TRUE,FALSE)</formula>
    </cfRule>
  </conditionalFormatting>
  <conditionalFormatting sqref="C11 C13:C14">
    <cfRule type="expression" dxfId="96" priority="18" stopIfTrue="1">
      <formula>IF(C11=0,TRUE,FALSE)</formula>
    </cfRule>
  </conditionalFormatting>
  <conditionalFormatting sqref="D11 D13:D14">
    <cfRule type="expression" dxfId="95" priority="17" stopIfTrue="1">
      <formula>IF(D11=0,TRUE,FALSE)</formula>
    </cfRule>
  </conditionalFormatting>
  <conditionalFormatting sqref="E11 E13:E14">
    <cfRule type="expression" dxfId="94" priority="16" stopIfTrue="1">
      <formula>IF(E11=0,TRUE,FALSE)</formula>
    </cfRule>
  </conditionalFormatting>
  <conditionalFormatting sqref="C17">
    <cfRule type="expression" dxfId="93" priority="15" stopIfTrue="1">
      <formula>IF(C17=0,TRUE,FALSE)</formula>
    </cfRule>
  </conditionalFormatting>
  <conditionalFormatting sqref="D17">
    <cfRule type="expression" dxfId="92" priority="14" stopIfTrue="1">
      <formula>IF(D17=0,TRUE,FALSE)</formula>
    </cfRule>
  </conditionalFormatting>
  <conditionalFormatting sqref="E17">
    <cfRule type="expression" dxfId="91" priority="13" stopIfTrue="1">
      <formula>IF(E17=0,TRUE,FALSE)</formula>
    </cfRule>
  </conditionalFormatting>
  <conditionalFormatting sqref="F17">
    <cfRule type="expression" dxfId="90" priority="12" stopIfTrue="1">
      <formula>IF(F17=0,TRUE,FALSE)</formula>
    </cfRule>
  </conditionalFormatting>
  <conditionalFormatting sqref="G17">
    <cfRule type="expression" dxfId="89" priority="11" stopIfTrue="1">
      <formula>IF(G17=0,TRUE,FALSE)</formula>
    </cfRule>
  </conditionalFormatting>
  <conditionalFormatting sqref="H17">
    <cfRule type="expression" dxfId="88" priority="10" stopIfTrue="1">
      <formula>IF(H17=0,TRUE,FALSE)</formula>
    </cfRule>
  </conditionalFormatting>
  <conditionalFormatting sqref="I17">
    <cfRule type="expression" dxfId="87" priority="9" stopIfTrue="1">
      <formula>IF(I17=0,TRUE,FALSE)</formula>
    </cfRule>
  </conditionalFormatting>
  <conditionalFormatting sqref="J17">
    <cfRule type="expression" dxfId="86" priority="8" stopIfTrue="1">
      <formula>IF(J17=0,TRUE,FALSE)</formula>
    </cfRule>
  </conditionalFormatting>
  <conditionalFormatting sqref="K17">
    <cfRule type="expression" dxfId="85" priority="7" stopIfTrue="1">
      <formula>IF(K17=0,TRUE,FALSE)</formula>
    </cfRule>
  </conditionalFormatting>
  <conditionalFormatting sqref="F14">
    <cfRule type="expression" dxfId="84" priority="1" stopIfTrue="1">
      <formula>IF(F14=0,TRUE,FALSE)</formula>
    </cfRule>
  </conditionalFormatting>
  <conditionalFormatting sqref="C8">
    <cfRule type="expression" dxfId="83" priority="22" stopIfTrue="1">
      <formula>IF(C8=0,TRUE,FALSE)</formula>
    </cfRule>
  </conditionalFormatting>
  <conditionalFormatting sqref="D8">
    <cfRule type="expression" dxfId="82" priority="21" stopIfTrue="1">
      <formula>IF(D8=0,TRUE,FALSE)</formula>
    </cfRule>
  </conditionalFormatting>
  <conditionalFormatting sqref="G10:K10">
    <cfRule type="expression" dxfId="81" priority="6" stopIfTrue="1">
      <formula>IF(G10="Please provide Certification Expiration date",TRUE,FALSE)</formula>
    </cfRule>
  </conditionalFormatting>
  <conditionalFormatting sqref="C18:K18">
    <cfRule type="expression" dxfId="80" priority="5" stopIfTrue="1">
      <formula>IF(C18="Please provide Certification Expiration date",TRUE, FALSE)</formula>
    </cfRule>
  </conditionalFormatting>
  <conditionalFormatting sqref="G7:K8">
    <cfRule type="expression" dxfId="79" priority="4" stopIfTrue="1">
      <formula>IF(G7="Please provide Certification Expiration date",TRUE,FALSE)</formula>
    </cfRule>
  </conditionalFormatting>
  <conditionalFormatting sqref="G9:K9">
    <cfRule type="expression" dxfId="78" priority="3" stopIfTrue="1">
      <formula>IF(G9="Please indicate Accredited Modalities and provide Certification Expiration dates",TRUE,FALSE)</formula>
    </cfRule>
  </conditionalFormatting>
  <conditionalFormatting sqref="G13:K14">
    <cfRule type="expression" dxfId="77" priority="2" stopIfTrue="1">
      <formula>IF(G13="Please provide Certification Expiration date",TRUE,FALSE)</formula>
    </cfRule>
  </conditionalFormatting>
  <hyperlinks>
    <hyperlink ref="J5:K5" location="text_accred" display="Document Explanations if needed" xr:uid="{00000000-0004-0000-0700-000000000000}"/>
  </hyperlinks>
  <printOptions horizontalCentered="1"/>
  <pageMargins left="0.75" right="0.75" top="1" bottom="1" header="0.5" footer="0.5"/>
  <pageSetup scale="51" orientation="portrait" r:id="rId1"/>
  <headerFooter alignWithMargins="0">
    <oddFooter>&amp;L&amp;"Calibri,Regular"Diagnostic Imaging Facility Utilization Report
Fiscal Year 202
&amp;C&amp;"Calibri,Regular"&amp;P of &amp;N&amp;R&amp;"Calibri,Regular"Minnesota Department of Health
Phone 651-201-3572
health.hccis@state.mn.us</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W46"/>
  <sheetViews>
    <sheetView zoomScaleNormal="100" workbookViewId="0">
      <selection sqref="A1:S1"/>
    </sheetView>
  </sheetViews>
  <sheetFormatPr defaultColWidth="0" defaultRowHeight="24.95" customHeight="1" zeroHeight="1" x14ac:dyDescent="0.2"/>
  <cols>
    <col min="1" max="1" width="25.7109375" style="233" customWidth="1"/>
    <col min="2" max="2" width="5.85546875" style="233" bestFit="1" customWidth="1"/>
    <col min="3" max="3" width="9.28515625" style="233" customWidth="1"/>
    <col min="4" max="4" width="9.140625" style="233" customWidth="1"/>
    <col min="5" max="5" width="5.85546875" style="233" bestFit="1" customWidth="1"/>
    <col min="6" max="7" width="9.140625" style="233" customWidth="1"/>
    <col min="8" max="8" width="5.85546875" style="233" bestFit="1" customWidth="1"/>
    <col min="9" max="10" width="9.140625" style="233" customWidth="1"/>
    <col min="11" max="11" width="5.85546875" style="233" bestFit="1" customWidth="1"/>
    <col min="12" max="13" width="9.140625" style="233" customWidth="1"/>
    <col min="14" max="14" width="5.85546875" style="233" bestFit="1" customWidth="1"/>
    <col min="15" max="16" width="9.140625" style="233" customWidth="1"/>
    <col min="17" max="17" width="5.85546875" style="233" bestFit="1" customWidth="1"/>
    <col min="18" max="19" width="9.140625" style="233" customWidth="1"/>
    <col min="20" max="23" width="9.140625" style="359" customWidth="1"/>
    <col min="24" max="16384" width="9.140625" style="233" hidden="1"/>
  </cols>
  <sheetData>
    <row r="1" spans="1:23" ht="24.95" customHeight="1" thickBot="1" x14ac:dyDescent="0.25">
      <c r="A1" s="936" t="e">
        <f>CONCATENATE('Demog Contact'!D$5," ",'Demog Contact'!D$6)</f>
        <v>#N/A</v>
      </c>
      <c r="B1" s="936"/>
      <c r="C1" s="936"/>
      <c r="D1" s="936"/>
      <c r="E1" s="936"/>
      <c r="F1" s="936"/>
      <c r="G1" s="936"/>
      <c r="H1" s="936"/>
      <c r="I1" s="936"/>
      <c r="J1" s="936"/>
      <c r="K1" s="936"/>
      <c r="L1" s="936"/>
      <c r="M1" s="936"/>
      <c r="N1" s="936"/>
      <c r="O1" s="936"/>
      <c r="P1" s="936"/>
      <c r="Q1" s="936"/>
      <c r="R1" s="936"/>
      <c r="S1" s="936"/>
      <c r="T1" s="875" t="s">
        <v>752</v>
      </c>
      <c r="U1" s="875"/>
      <c r="V1" s="875"/>
      <c r="W1" s="875"/>
    </row>
    <row r="2" spans="1:23" ht="24.95" customHeight="1" x14ac:dyDescent="0.2">
      <c r="A2" s="1072" t="s">
        <v>760</v>
      </c>
      <c r="B2" s="1073"/>
      <c r="C2" s="1073"/>
      <c r="D2" s="1074"/>
      <c r="E2" s="1074"/>
      <c r="F2" s="1074"/>
      <c r="G2" s="1074"/>
      <c r="H2" s="1074"/>
      <c r="I2" s="995" t="str">
        <f>CONCATENATE("Fiscal Year ",'Demog Contact'!L1)</f>
        <v>Fiscal Year 2024</v>
      </c>
      <c r="J2" s="995"/>
      <c r="K2" s="995"/>
      <c r="L2" s="996" t="s">
        <v>752</v>
      </c>
      <c r="M2" s="996"/>
      <c r="N2" s="1077" t="s">
        <v>409</v>
      </c>
      <c r="O2" s="1077"/>
      <c r="P2" s="1077"/>
      <c r="Q2" s="1077"/>
      <c r="R2" s="1077"/>
      <c r="S2" s="1078"/>
      <c r="T2" s="929" t="s">
        <v>752</v>
      </c>
      <c r="U2" s="928"/>
      <c r="V2" s="928"/>
      <c r="W2" s="928"/>
    </row>
    <row r="3" spans="1:23" ht="24.95" customHeight="1" x14ac:dyDescent="0.2">
      <c r="A3" s="1063" t="s">
        <v>662</v>
      </c>
      <c r="B3" s="1038"/>
      <c r="C3" s="1038"/>
      <c r="D3" s="1038"/>
      <c r="E3" s="1038"/>
      <c r="F3" s="1038"/>
      <c r="G3" s="1038"/>
      <c r="H3" s="1038"/>
      <c r="I3" s="1038"/>
      <c r="J3" s="1038"/>
      <c r="K3" s="1038"/>
      <c r="L3" s="1038"/>
      <c r="M3" s="1038"/>
      <c r="N3" s="1038"/>
      <c r="O3" s="1038"/>
      <c r="P3" s="1038"/>
      <c r="Q3" s="1038"/>
      <c r="R3" s="1038"/>
      <c r="S3" s="1039"/>
      <c r="T3" s="929" t="s">
        <v>752</v>
      </c>
      <c r="U3" s="928"/>
      <c r="V3" s="928"/>
      <c r="W3" s="928"/>
    </row>
    <row r="4" spans="1:23" ht="24.95" customHeight="1" x14ac:dyDescent="0.2">
      <c r="A4" s="524" t="s">
        <v>752</v>
      </c>
      <c r="B4" s="934" t="s">
        <v>37</v>
      </c>
      <c r="C4" s="1070"/>
      <c r="D4" s="1071"/>
      <c r="E4" s="934" t="s">
        <v>36</v>
      </c>
      <c r="F4" s="1075"/>
      <c r="G4" s="1076"/>
      <c r="H4" s="934" t="s">
        <v>250</v>
      </c>
      <c r="I4" s="1070"/>
      <c r="J4" s="1071"/>
      <c r="K4" s="934" t="s">
        <v>249</v>
      </c>
      <c r="L4" s="1075"/>
      <c r="M4" s="1076"/>
      <c r="N4" s="934" t="s">
        <v>248</v>
      </c>
      <c r="O4" s="1075"/>
      <c r="P4" s="1076"/>
      <c r="Q4" s="934" t="s">
        <v>264</v>
      </c>
      <c r="R4" s="1075"/>
      <c r="S4" s="1076"/>
      <c r="T4" s="929" t="s">
        <v>752</v>
      </c>
      <c r="U4" s="928"/>
      <c r="V4" s="928"/>
      <c r="W4" s="928"/>
    </row>
    <row r="5" spans="1:23" ht="24.95" customHeight="1" x14ac:dyDescent="0.2">
      <c r="A5" s="234" t="s">
        <v>148</v>
      </c>
      <c r="B5" s="235">
        <v>7708</v>
      </c>
      <c r="C5" s="1011"/>
      <c r="D5" s="1012"/>
      <c r="E5" s="235">
        <v>7723</v>
      </c>
      <c r="F5" s="1011"/>
      <c r="G5" s="1012"/>
      <c r="H5" s="235">
        <v>7738</v>
      </c>
      <c r="I5" s="1011"/>
      <c r="J5" s="1012"/>
      <c r="K5" s="235">
        <v>7753</v>
      </c>
      <c r="L5" s="1011"/>
      <c r="M5" s="1012"/>
      <c r="N5" s="236">
        <v>7768</v>
      </c>
      <c r="O5" s="1011"/>
      <c r="P5" s="1012"/>
      <c r="Q5" s="235">
        <v>7783</v>
      </c>
      <c r="R5" s="1011"/>
      <c r="S5" s="1012"/>
      <c r="T5" s="929" t="s">
        <v>752</v>
      </c>
      <c r="U5" s="928"/>
      <c r="V5" s="928"/>
      <c r="W5" s="928"/>
    </row>
    <row r="6" spans="1:23" ht="24.95" customHeight="1" x14ac:dyDescent="0.2">
      <c r="A6" s="234" t="s">
        <v>255</v>
      </c>
      <c r="B6" s="235">
        <v>7709</v>
      </c>
      <c r="C6" s="1011"/>
      <c r="D6" s="1012"/>
      <c r="E6" s="235">
        <v>7724</v>
      </c>
      <c r="F6" s="1011"/>
      <c r="G6" s="1012"/>
      <c r="H6" s="235">
        <v>7739</v>
      </c>
      <c r="I6" s="1011"/>
      <c r="J6" s="1012"/>
      <c r="K6" s="235">
        <v>7754</v>
      </c>
      <c r="L6" s="1011"/>
      <c r="M6" s="1012"/>
      <c r="N6" s="236">
        <v>7769</v>
      </c>
      <c r="O6" s="1011"/>
      <c r="P6" s="1012"/>
      <c r="Q6" s="235">
        <v>7784</v>
      </c>
      <c r="R6" s="1011"/>
      <c r="S6" s="1012"/>
      <c r="T6" s="929" t="s">
        <v>752</v>
      </c>
      <c r="U6" s="928"/>
      <c r="V6" s="928"/>
      <c r="W6" s="928"/>
    </row>
    <row r="7" spans="1:23" ht="24.95" customHeight="1" x14ac:dyDescent="0.2">
      <c r="A7" s="234" t="s">
        <v>149</v>
      </c>
      <c r="B7" s="235">
        <v>7710</v>
      </c>
      <c r="C7" s="1006"/>
      <c r="D7" s="1007"/>
      <c r="E7" s="235">
        <v>7725</v>
      </c>
      <c r="F7" s="1006"/>
      <c r="G7" s="1007"/>
      <c r="H7" s="235">
        <v>7740</v>
      </c>
      <c r="I7" s="1006"/>
      <c r="J7" s="1007"/>
      <c r="K7" s="235">
        <v>7755</v>
      </c>
      <c r="L7" s="1006"/>
      <c r="M7" s="1007"/>
      <c r="N7" s="236">
        <v>7770</v>
      </c>
      <c r="O7" s="1006"/>
      <c r="P7" s="1007"/>
      <c r="Q7" s="235">
        <v>7785</v>
      </c>
      <c r="R7" s="1006"/>
      <c r="S7" s="1007"/>
      <c r="T7" s="929" t="s">
        <v>752</v>
      </c>
      <c r="U7" s="928"/>
      <c r="V7" s="928"/>
      <c r="W7" s="928"/>
    </row>
    <row r="8" spans="1:23" ht="24.95" customHeight="1" x14ac:dyDescent="0.2">
      <c r="A8" s="234" t="s">
        <v>208</v>
      </c>
      <c r="B8" s="235">
        <v>7711</v>
      </c>
      <c r="C8" s="1006"/>
      <c r="D8" s="1007"/>
      <c r="E8" s="235">
        <v>7726</v>
      </c>
      <c r="F8" s="1006"/>
      <c r="G8" s="1007"/>
      <c r="H8" s="235">
        <v>7741</v>
      </c>
      <c r="I8" s="1006"/>
      <c r="J8" s="1007"/>
      <c r="K8" s="235">
        <v>7756</v>
      </c>
      <c r="L8" s="1006"/>
      <c r="M8" s="1007"/>
      <c r="N8" s="236">
        <v>7771</v>
      </c>
      <c r="O8" s="1006"/>
      <c r="P8" s="1007"/>
      <c r="Q8" s="235">
        <v>7786</v>
      </c>
      <c r="R8" s="1006"/>
      <c r="S8" s="1007"/>
      <c r="T8" s="929" t="s">
        <v>752</v>
      </c>
      <c r="U8" s="928"/>
      <c r="V8" s="928"/>
      <c r="W8" s="928"/>
    </row>
    <row r="9" spans="1:23" ht="24.95" customHeight="1" x14ac:dyDescent="0.2">
      <c r="A9" s="234" t="s">
        <v>209</v>
      </c>
      <c r="B9" s="235">
        <v>7712</v>
      </c>
      <c r="C9" s="1006"/>
      <c r="D9" s="1007"/>
      <c r="E9" s="235">
        <v>7727</v>
      </c>
      <c r="F9" s="1006"/>
      <c r="G9" s="1007"/>
      <c r="H9" s="235">
        <v>7742</v>
      </c>
      <c r="I9" s="1006"/>
      <c r="J9" s="1007"/>
      <c r="K9" s="235">
        <v>7757</v>
      </c>
      <c r="L9" s="1006"/>
      <c r="M9" s="1007"/>
      <c r="N9" s="236">
        <v>7772</v>
      </c>
      <c r="O9" s="1006"/>
      <c r="P9" s="1007"/>
      <c r="Q9" s="235">
        <v>7787</v>
      </c>
      <c r="R9" s="1006"/>
      <c r="S9" s="1007"/>
      <c r="T9" s="929" t="s">
        <v>752</v>
      </c>
      <c r="U9" s="928"/>
      <c r="V9" s="928"/>
      <c r="W9" s="928"/>
    </row>
    <row r="10" spans="1:23" ht="24.95" customHeight="1" x14ac:dyDescent="0.2">
      <c r="A10" s="234" t="s">
        <v>151</v>
      </c>
      <c r="B10" s="235">
        <v>7713</v>
      </c>
      <c r="C10" s="1006"/>
      <c r="D10" s="1007"/>
      <c r="E10" s="235">
        <v>7728</v>
      </c>
      <c r="F10" s="1006"/>
      <c r="G10" s="1007"/>
      <c r="H10" s="235">
        <v>7743</v>
      </c>
      <c r="I10" s="1006"/>
      <c r="J10" s="1007"/>
      <c r="K10" s="235">
        <v>7758</v>
      </c>
      <c r="L10" s="1006"/>
      <c r="M10" s="1007"/>
      <c r="N10" s="236">
        <v>7773</v>
      </c>
      <c r="O10" s="1006"/>
      <c r="P10" s="1007"/>
      <c r="Q10" s="235">
        <v>7788</v>
      </c>
      <c r="R10" s="1006"/>
      <c r="S10" s="1007"/>
      <c r="T10" s="929" t="s">
        <v>752</v>
      </c>
      <c r="U10" s="928"/>
      <c r="V10" s="928"/>
      <c r="W10" s="928"/>
    </row>
    <row r="11" spans="1:23" ht="24.95" customHeight="1" x14ac:dyDescent="0.2">
      <c r="A11" s="234" t="s">
        <v>156</v>
      </c>
      <c r="B11" s="235">
        <v>7714</v>
      </c>
      <c r="C11" s="1006"/>
      <c r="D11" s="1007"/>
      <c r="E11" s="235">
        <v>7729</v>
      </c>
      <c r="F11" s="1006"/>
      <c r="G11" s="1007"/>
      <c r="H11" s="235">
        <v>7744</v>
      </c>
      <c r="I11" s="1006"/>
      <c r="J11" s="1007"/>
      <c r="K11" s="235">
        <v>7759</v>
      </c>
      <c r="L11" s="1006"/>
      <c r="M11" s="1007"/>
      <c r="N11" s="236">
        <v>7774</v>
      </c>
      <c r="O11" s="1006"/>
      <c r="P11" s="1007"/>
      <c r="Q11" s="235">
        <v>7789</v>
      </c>
      <c r="R11" s="1006"/>
      <c r="S11" s="1007"/>
      <c r="T11" s="929" t="s">
        <v>752</v>
      </c>
      <c r="U11" s="928"/>
      <c r="V11" s="928"/>
      <c r="W11" s="928"/>
    </row>
    <row r="12" spans="1:23" ht="24.95" customHeight="1" x14ac:dyDescent="0.2">
      <c r="A12" s="234" t="s">
        <v>160</v>
      </c>
      <c r="B12" s="235">
        <v>7715</v>
      </c>
      <c r="C12" s="1006"/>
      <c r="D12" s="1007"/>
      <c r="E12" s="235">
        <v>7730</v>
      </c>
      <c r="F12" s="1006"/>
      <c r="G12" s="1007"/>
      <c r="H12" s="235">
        <v>7745</v>
      </c>
      <c r="I12" s="1006"/>
      <c r="J12" s="1007"/>
      <c r="K12" s="235">
        <v>7760</v>
      </c>
      <c r="L12" s="1006"/>
      <c r="M12" s="1007"/>
      <c r="N12" s="236">
        <v>7775</v>
      </c>
      <c r="O12" s="1006"/>
      <c r="P12" s="1007"/>
      <c r="Q12" s="235">
        <v>7790</v>
      </c>
      <c r="R12" s="1006"/>
      <c r="S12" s="1007"/>
      <c r="T12" s="929" t="s">
        <v>752</v>
      </c>
      <c r="U12" s="928"/>
      <c r="V12" s="928"/>
      <c r="W12" s="928"/>
    </row>
    <row r="13" spans="1:23" ht="24.95" customHeight="1" x14ac:dyDescent="0.2">
      <c r="A13" s="234" t="s">
        <v>150</v>
      </c>
      <c r="B13" s="235">
        <v>7716</v>
      </c>
      <c r="C13" s="1006"/>
      <c r="D13" s="1007"/>
      <c r="E13" s="235">
        <v>7731</v>
      </c>
      <c r="F13" s="1006"/>
      <c r="G13" s="1007"/>
      <c r="H13" s="235">
        <v>7746</v>
      </c>
      <c r="I13" s="1006"/>
      <c r="J13" s="1007"/>
      <c r="K13" s="235">
        <v>7761</v>
      </c>
      <c r="L13" s="1006"/>
      <c r="M13" s="1007"/>
      <c r="N13" s="236">
        <v>7776</v>
      </c>
      <c r="O13" s="1006"/>
      <c r="P13" s="1007"/>
      <c r="Q13" s="235">
        <v>7791</v>
      </c>
      <c r="R13" s="1006"/>
      <c r="S13" s="1007"/>
      <c r="T13" s="929" t="s">
        <v>752</v>
      </c>
      <c r="U13" s="928"/>
      <c r="V13" s="928"/>
      <c r="W13" s="928"/>
    </row>
    <row r="14" spans="1:23" ht="24.95" customHeight="1" x14ac:dyDescent="0.2">
      <c r="A14" s="234" t="s">
        <v>152</v>
      </c>
      <c r="B14" s="235">
        <v>7717</v>
      </c>
      <c r="C14" s="1006"/>
      <c r="D14" s="1007"/>
      <c r="E14" s="235">
        <v>7732</v>
      </c>
      <c r="F14" s="1006"/>
      <c r="G14" s="1007"/>
      <c r="H14" s="235">
        <v>7747</v>
      </c>
      <c r="I14" s="1006"/>
      <c r="J14" s="1007"/>
      <c r="K14" s="235">
        <v>7762</v>
      </c>
      <c r="L14" s="1006"/>
      <c r="M14" s="1007"/>
      <c r="N14" s="236">
        <v>7777</v>
      </c>
      <c r="O14" s="1006"/>
      <c r="P14" s="1007"/>
      <c r="Q14" s="235">
        <v>7792</v>
      </c>
      <c r="R14" s="1006"/>
      <c r="S14" s="1007"/>
      <c r="T14" s="930" t="s">
        <v>752</v>
      </c>
      <c r="U14" s="931"/>
      <c r="V14" s="931"/>
      <c r="W14" s="931"/>
    </row>
    <row r="15" spans="1:23" ht="24.95" customHeight="1" x14ac:dyDescent="0.2">
      <c r="A15" s="237" t="s">
        <v>770</v>
      </c>
      <c r="B15" s="235">
        <v>7718</v>
      </c>
      <c r="C15" s="1008">
        <f>SUM(C16:C18)</f>
        <v>0</v>
      </c>
      <c r="D15" s="1083"/>
      <c r="E15" s="235">
        <v>7733</v>
      </c>
      <c r="F15" s="1008">
        <f>SUM(F16:F18)</f>
        <v>0</v>
      </c>
      <c r="G15" s="1009"/>
      <c r="H15" s="235">
        <v>7748</v>
      </c>
      <c r="I15" s="1010">
        <f>SUM(I16:I18)</f>
        <v>0</v>
      </c>
      <c r="J15" s="1009"/>
      <c r="K15" s="235">
        <v>7763</v>
      </c>
      <c r="L15" s="1010">
        <f>SUM(L16:L18)</f>
        <v>0</v>
      </c>
      <c r="M15" s="1009"/>
      <c r="N15" s="236">
        <v>7778</v>
      </c>
      <c r="O15" s="1008">
        <f>SUM(O16:O18)</f>
        <v>0</v>
      </c>
      <c r="P15" s="1009"/>
      <c r="Q15" s="235">
        <v>7793</v>
      </c>
      <c r="R15" s="1010">
        <f>SUM(R16:R18)</f>
        <v>0</v>
      </c>
      <c r="S15" s="1009"/>
      <c r="T15" s="997" t="s">
        <v>663</v>
      </c>
      <c r="U15" s="998"/>
      <c r="V15" s="998"/>
      <c r="W15" s="999"/>
    </row>
    <row r="16" spans="1:23" ht="24.95" customHeight="1" x14ac:dyDescent="0.2">
      <c r="A16" s="451" t="s">
        <v>155</v>
      </c>
      <c r="B16" s="235">
        <v>7719</v>
      </c>
      <c r="C16" s="238"/>
      <c r="D16" s="1052"/>
      <c r="E16" s="235">
        <v>7734</v>
      </c>
      <c r="F16" s="455"/>
      <c r="G16" s="1052"/>
      <c r="H16" s="235">
        <v>7749</v>
      </c>
      <c r="I16" s="455"/>
      <c r="J16" s="1052"/>
      <c r="K16" s="235">
        <v>7764</v>
      </c>
      <c r="L16" s="455"/>
      <c r="M16" s="1052"/>
      <c r="N16" s="236">
        <v>7779</v>
      </c>
      <c r="O16" s="455"/>
      <c r="P16" s="1052"/>
      <c r="Q16" s="235">
        <v>7794</v>
      </c>
      <c r="R16" s="455"/>
      <c r="S16" s="1052"/>
      <c r="T16" s="1000"/>
      <c r="U16" s="1001"/>
      <c r="V16" s="1001"/>
      <c r="W16" s="1002"/>
    </row>
    <row r="17" spans="1:23" ht="24.95" hidden="1" customHeight="1" x14ac:dyDescent="0.2">
      <c r="A17" s="451"/>
      <c r="B17" s="235"/>
      <c r="C17" s="238"/>
      <c r="D17" s="1053"/>
      <c r="E17" s="235"/>
      <c r="F17" s="455"/>
      <c r="G17" s="1053"/>
      <c r="H17" s="235"/>
      <c r="I17" s="455"/>
      <c r="J17" s="1053"/>
      <c r="K17" s="235"/>
      <c r="L17" s="455"/>
      <c r="M17" s="1053"/>
      <c r="N17" s="236"/>
      <c r="O17" s="455"/>
      <c r="P17" s="1053"/>
      <c r="Q17" s="235"/>
      <c r="R17" s="455"/>
      <c r="S17" s="1053"/>
      <c r="T17" s="1000"/>
      <c r="U17" s="1001"/>
      <c r="V17" s="1001"/>
      <c r="W17" s="1002"/>
    </row>
    <row r="18" spans="1:23" ht="24.95" customHeight="1" x14ac:dyDescent="0.2">
      <c r="A18" s="451" t="s">
        <v>153</v>
      </c>
      <c r="B18" s="235">
        <v>7721</v>
      </c>
      <c r="C18" s="238"/>
      <c r="D18" s="1054"/>
      <c r="E18" s="235">
        <v>7736</v>
      </c>
      <c r="F18" s="455"/>
      <c r="G18" s="1054"/>
      <c r="H18" s="235">
        <v>7751</v>
      </c>
      <c r="I18" s="455"/>
      <c r="J18" s="1054"/>
      <c r="K18" s="235">
        <v>7766</v>
      </c>
      <c r="L18" s="455"/>
      <c r="M18" s="1054"/>
      <c r="N18" s="236">
        <v>7781</v>
      </c>
      <c r="O18" s="455"/>
      <c r="P18" s="1054"/>
      <c r="Q18" s="235">
        <v>7796</v>
      </c>
      <c r="R18" s="455"/>
      <c r="S18" s="1054"/>
      <c r="T18" s="1003"/>
      <c r="U18" s="1004"/>
      <c r="V18" s="1004"/>
      <c r="W18" s="1005"/>
    </row>
    <row r="19" spans="1:23" ht="24.95" customHeight="1" thickBot="1" x14ac:dyDescent="0.25">
      <c r="A19" s="239" t="s">
        <v>154</v>
      </c>
      <c r="B19" s="522">
        <v>7722</v>
      </c>
      <c r="C19" s="1058">
        <f>SUM(C5:D15)</f>
        <v>0</v>
      </c>
      <c r="D19" s="1059"/>
      <c r="E19" s="254">
        <v>7737</v>
      </c>
      <c r="F19" s="1060">
        <f>SUM(F5:G15)</f>
        <v>0</v>
      </c>
      <c r="G19" s="1056"/>
      <c r="H19" s="254">
        <v>7752</v>
      </c>
      <c r="I19" s="1055">
        <f>SUM(I5:J15)</f>
        <v>0</v>
      </c>
      <c r="J19" s="1056"/>
      <c r="K19" s="254">
        <v>7767</v>
      </c>
      <c r="L19" s="1055">
        <f>SUM(L5:M15)</f>
        <v>0</v>
      </c>
      <c r="M19" s="1056"/>
      <c r="N19" s="523">
        <v>7782</v>
      </c>
      <c r="O19" s="1060">
        <f>SUM(O5:P15)</f>
        <v>0</v>
      </c>
      <c r="P19" s="1056"/>
      <c r="Q19" s="254">
        <v>7797</v>
      </c>
      <c r="R19" s="1055">
        <f>SUM(R5:S15)</f>
        <v>0</v>
      </c>
      <c r="S19" s="1056"/>
      <c r="T19" s="993" t="s">
        <v>752</v>
      </c>
      <c r="U19" s="994"/>
      <c r="V19" s="994"/>
      <c r="W19" s="994"/>
    </row>
    <row r="20" spans="1:23" s="143" customFormat="1" ht="24.95" customHeight="1" thickBot="1" x14ac:dyDescent="0.25">
      <c r="A20" s="516">
        <f>SUM(C19,F19,I19,L19,O19,R19)</f>
        <v>0</v>
      </c>
      <c r="B20" s="987" t="s">
        <v>752</v>
      </c>
      <c r="C20" s="987"/>
      <c r="D20" s="987"/>
      <c r="E20" s="987"/>
      <c r="F20" s="987"/>
      <c r="G20" s="987"/>
      <c r="H20" s="987"/>
      <c r="I20" s="987"/>
      <c r="J20" s="987"/>
      <c r="K20" s="987"/>
      <c r="L20" s="987"/>
      <c r="M20" s="987"/>
      <c r="N20" s="987"/>
      <c r="O20" s="987"/>
      <c r="P20" s="987"/>
      <c r="Q20" s="987"/>
      <c r="R20" s="987"/>
      <c r="S20" s="987"/>
      <c r="T20" s="875" t="s">
        <v>752</v>
      </c>
      <c r="U20" s="875"/>
      <c r="V20" s="875"/>
      <c r="W20" s="875"/>
    </row>
    <row r="21" spans="1:23" ht="24.95" customHeight="1" x14ac:dyDescent="0.2">
      <c r="A21" s="1081" t="s">
        <v>97</v>
      </c>
      <c r="B21" s="1082"/>
      <c r="C21" s="1082"/>
      <c r="D21" s="1082"/>
      <c r="E21" s="1082"/>
      <c r="F21" s="1082"/>
      <c r="G21" s="1082"/>
      <c r="H21" s="1082"/>
      <c r="I21" s="1082"/>
      <c r="J21" s="1082"/>
      <c r="K21" s="1082"/>
      <c r="L21" s="1082"/>
      <c r="M21" s="1082"/>
      <c r="N21" s="1064" t="s">
        <v>409</v>
      </c>
      <c r="O21" s="1064"/>
      <c r="P21" s="1064"/>
      <c r="Q21" s="1064"/>
      <c r="R21" s="1064"/>
      <c r="S21" s="1065"/>
      <c r="T21" s="988" t="s">
        <v>752</v>
      </c>
      <c r="U21" s="989"/>
      <c r="V21" s="989"/>
      <c r="W21" s="989"/>
    </row>
    <row r="22" spans="1:23" ht="24.95" customHeight="1" x14ac:dyDescent="0.2">
      <c r="A22" s="1063" t="s">
        <v>96</v>
      </c>
      <c r="B22" s="1038"/>
      <c r="C22" s="1038"/>
      <c r="D22" s="1038"/>
      <c r="E22" s="1038"/>
      <c r="F22" s="1038"/>
      <c r="G22" s="1038"/>
      <c r="H22" s="1038"/>
      <c r="I22" s="1038"/>
      <c r="J22" s="1038"/>
      <c r="K22" s="1038"/>
      <c r="L22" s="1038"/>
      <c r="M22" s="1038"/>
      <c r="N22" s="1038"/>
      <c r="O22" s="1038"/>
      <c r="P22" s="1038"/>
      <c r="Q22" s="1038"/>
      <c r="R22" s="1038"/>
      <c r="S22" s="1039"/>
      <c r="T22" s="988" t="s">
        <v>752</v>
      </c>
      <c r="U22" s="989"/>
      <c r="V22" s="989"/>
      <c r="W22" s="989"/>
    </row>
    <row r="23" spans="1:23" ht="24.95" customHeight="1" x14ac:dyDescent="0.2">
      <c r="A23" s="525" t="s">
        <v>752</v>
      </c>
      <c r="B23" s="1026" t="s">
        <v>269</v>
      </c>
      <c r="C23" s="1061"/>
      <c r="D23" s="1062"/>
      <c r="E23" s="1026" t="s">
        <v>270</v>
      </c>
      <c r="F23" s="975"/>
      <c r="G23" s="1019"/>
      <c r="H23" s="1026" t="s">
        <v>271</v>
      </c>
      <c r="I23" s="1079"/>
      <c r="J23" s="1080"/>
      <c r="K23" s="1026" t="s">
        <v>272</v>
      </c>
      <c r="L23" s="975"/>
      <c r="M23" s="1019"/>
      <c r="N23" s="1026" t="s">
        <v>273</v>
      </c>
      <c r="O23" s="975"/>
      <c r="P23" s="1019"/>
      <c r="Q23" s="680" t="s">
        <v>274</v>
      </c>
      <c r="R23" s="975"/>
      <c r="S23" s="1019"/>
      <c r="T23" s="988" t="s">
        <v>752</v>
      </c>
      <c r="U23" s="989"/>
      <c r="V23" s="989"/>
      <c r="W23" s="989"/>
    </row>
    <row r="24" spans="1:23" ht="24.95" customHeight="1" thickBot="1" x14ac:dyDescent="0.25">
      <c r="A24" s="240" t="s">
        <v>664</v>
      </c>
      <c r="B24" s="241">
        <v>7196</v>
      </c>
      <c r="C24" s="1024"/>
      <c r="D24" s="1025"/>
      <c r="E24" s="241">
        <v>7200</v>
      </c>
      <c r="F24" s="1024"/>
      <c r="G24" s="1025"/>
      <c r="H24" s="241">
        <v>7313</v>
      </c>
      <c r="I24" s="1024"/>
      <c r="J24" s="1025"/>
      <c r="K24" s="241">
        <v>7190</v>
      </c>
      <c r="L24" s="1024"/>
      <c r="M24" s="1025"/>
      <c r="N24" s="241">
        <v>7320</v>
      </c>
      <c r="O24" s="1024"/>
      <c r="P24" s="1025"/>
      <c r="Q24" s="242">
        <v>7219</v>
      </c>
      <c r="R24" s="1024"/>
      <c r="S24" s="1025"/>
      <c r="T24" s="990" t="s">
        <v>752</v>
      </c>
      <c r="U24" s="991"/>
      <c r="V24" s="991"/>
      <c r="W24" s="991"/>
    </row>
    <row r="25" spans="1:23" s="143" customFormat="1" ht="24.95" customHeight="1" thickBot="1" x14ac:dyDescent="0.25">
      <c r="A25" s="526" t="s">
        <v>773</v>
      </c>
      <c r="B25" s="1020" t="str">
        <f>IF(AND(C19&gt;0, ISBLANK(C24)),"Please enter the number of "&amp;B23&amp;" Scanners","")</f>
        <v/>
      </c>
      <c r="C25" s="1041"/>
      <c r="D25" s="1041"/>
      <c r="E25" s="1020" t="str">
        <f>IF(AND(F19&gt;0, ISBLANK(F24)),"Please enter the number of "&amp;E23&amp;" Scanners","")</f>
        <v/>
      </c>
      <c r="F25" s="1021"/>
      <c r="G25" s="1021"/>
      <c r="H25" s="1020" t="str">
        <f>IF(AND(I19&gt;0, ISBLANK(I24)),"Please enter the number of "&amp;H23&amp;" Scanners","")</f>
        <v/>
      </c>
      <c r="I25" s="1021"/>
      <c r="J25" s="1021"/>
      <c r="K25" s="1020" t="str">
        <f>IF(AND(L19&gt;0, ISBLANK(L24)),"Please enter the number of "&amp;K23&amp;" Scanners","")</f>
        <v/>
      </c>
      <c r="L25" s="1021"/>
      <c r="M25" s="1021"/>
      <c r="N25" s="1020" t="str">
        <f>IF(AND(O19&gt;0, ISBLANK(O24)),"Please enter the number of "&amp;N23&amp;" Scanners","")</f>
        <v/>
      </c>
      <c r="O25" s="1021"/>
      <c r="P25" s="1021"/>
      <c r="Q25" s="1020" t="str">
        <f>IF(AND(R19&gt;0, ISBLANK(R24)),"Please enter the number of "&amp;Q23&amp;" Scanners","")</f>
        <v/>
      </c>
      <c r="R25" s="1021"/>
      <c r="S25" s="1021"/>
      <c r="T25" s="992" t="s">
        <v>752</v>
      </c>
      <c r="U25" s="992"/>
      <c r="V25" s="992"/>
      <c r="W25" s="992"/>
    </row>
    <row r="26" spans="1:23" s="143" customFormat="1" ht="24.95" customHeight="1" x14ac:dyDescent="0.2">
      <c r="A26" s="1066" t="s">
        <v>761</v>
      </c>
      <c r="B26" s="1067"/>
      <c r="C26" s="1067"/>
      <c r="D26" s="1067"/>
      <c r="E26" s="1067"/>
      <c r="F26" s="1067"/>
      <c r="G26" s="1067"/>
      <c r="H26" s="1067"/>
      <c r="I26" s="1067"/>
      <c r="J26" s="1067"/>
      <c r="K26" s="1067"/>
      <c r="L26" s="1067"/>
      <c r="M26" s="1067"/>
      <c r="N26" s="1068" t="s">
        <v>409</v>
      </c>
      <c r="O26" s="1068"/>
      <c r="P26" s="1068"/>
      <c r="Q26" s="1068"/>
      <c r="R26" s="1068"/>
      <c r="S26" s="1069"/>
      <c r="T26" s="929" t="s">
        <v>752</v>
      </c>
      <c r="U26" s="875"/>
      <c r="V26" s="875"/>
      <c r="W26" s="875"/>
    </row>
    <row r="27" spans="1:23" s="143" customFormat="1" ht="24.95" customHeight="1" x14ac:dyDescent="0.2">
      <c r="A27" s="1037" t="s">
        <v>665</v>
      </c>
      <c r="B27" s="1038"/>
      <c r="C27" s="1038"/>
      <c r="D27" s="1038"/>
      <c r="E27" s="1038"/>
      <c r="F27" s="1038"/>
      <c r="G27" s="1038"/>
      <c r="H27" s="1038"/>
      <c r="I27" s="1038"/>
      <c r="J27" s="1038"/>
      <c r="K27" s="1038"/>
      <c r="L27" s="1038"/>
      <c r="M27" s="1038"/>
      <c r="N27" s="1038"/>
      <c r="O27" s="1038"/>
      <c r="P27" s="1038"/>
      <c r="Q27" s="1038"/>
      <c r="R27" s="1038"/>
      <c r="S27" s="1039"/>
      <c r="T27" s="988" t="s">
        <v>752</v>
      </c>
      <c r="U27" s="992"/>
      <c r="V27" s="992"/>
      <c r="W27" s="992"/>
    </row>
    <row r="28" spans="1:23" s="143" customFormat="1" ht="24.95" customHeight="1" x14ac:dyDescent="0.2">
      <c r="A28" s="527" t="s">
        <v>752</v>
      </c>
      <c r="B28" s="904" t="s">
        <v>269</v>
      </c>
      <c r="C28" s="1070"/>
      <c r="D28" s="1071"/>
      <c r="E28" s="934" t="s">
        <v>270</v>
      </c>
      <c r="F28" s="1022"/>
      <c r="G28" s="1023"/>
      <c r="H28" s="934" t="s">
        <v>271</v>
      </c>
      <c r="I28" s="1027"/>
      <c r="J28" s="1028"/>
      <c r="K28" s="934" t="s">
        <v>272</v>
      </c>
      <c r="L28" s="1022"/>
      <c r="M28" s="1023"/>
      <c r="N28" s="934" t="s">
        <v>273</v>
      </c>
      <c r="O28" s="1022"/>
      <c r="P28" s="1023"/>
      <c r="Q28" s="680" t="s">
        <v>274</v>
      </c>
      <c r="R28" s="975"/>
      <c r="S28" s="1019"/>
      <c r="T28" s="929" t="s">
        <v>752</v>
      </c>
      <c r="U28" s="875"/>
      <c r="V28" s="875"/>
      <c r="W28" s="875"/>
    </row>
    <row r="29" spans="1:23" ht="24.95" customHeight="1" x14ac:dyDescent="0.2">
      <c r="A29" s="1042" t="s">
        <v>666</v>
      </c>
      <c r="B29" s="1050" t="s">
        <v>265</v>
      </c>
      <c r="C29" s="1045"/>
      <c r="D29" s="243" t="s">
        <v>266</v>
      </c>
      <c r="E29" s="1015" t="s">
        <v>265</v>
      </c>
      <c r="F29" s="1016"/>
      <c r="G29" s="243" t="s">
        <v>266</v>
      </c>
      <c r="H29" s="1031" t="s">
        <v>265</v>
      </c>
      <c r="I29" s="1032"/>
      <c r="J29" s="244" t="s">
        <v>266</v>
      </c>
      <c r="K29" s="1031" t="s">
        <v>265</v>
      </c>
      <c r="L29" s="1032"/>
      <c r="M29" s="244" t="s">
        <v>266</v>
      </c>
      <c r="N29" s="1031" t="s">
        <v>265</v>
      </c>
      <c r="O29" s="1032"/>
      <c r="P29" s="244" t="s">
        <v>266</v>
      </c>
      <c r="Q29" s="1031" t="s">
        <v>265</v>
      </c>
      <c r="R29" s="1032"/>
      <c r="S29" s="244" t="s">
        <v>266</v>
      </c>
      <c r="T29" s="929" t="s">
        <v>752</v>
      </c>
      <c r="U29" s="928"/>
      <c r="V29" s="928"/>
      <c r="W29" s="928"/>
    </row>
    <row r="30" spans="1:23" ht="24.95" customHeight="1" x14ac:dyDescent="0.2">
      <c r="A30" s="1049"/>
      <c r="B30" s="1051"/>
      <c r="C30" s="1014"/>
      <c r="D30" s="245"/>
      <c r="E30" s="1013"/>
      <c r="F30" s="1014"/>
      <c r="G30" s="245"/>
      <c r="H30" s="1013"/>
      <c r="I30" s="1014"/>
      <c r="J30" s="245"/>
      <c r="K30" s="1013"/>
      <c r="L30" s="1014"/>
      <c r="M30" s="245"/>
      <c r="N30" s="1013"/>
      <c r="O30" s="1014"/>
      <c r="P30" s="245"/>
      <c r="Q30" s="1013"/>
      <c r="R30" s="1014"/>
      <c r="S30" s="245"/>
      <c r="T30" s="929" t="s">
        <v>752</v>
      </c>
      <c r="U30" s="928"/>
      <c r="V30" s="928"/>
      <c r="W30" s="928"/>
    </row>
    <row r="31" spans="1:23" s="143" customFormat="1" ht="24.95" customHeight="1" x14ac:dyDescent="0.2">
      <c r="A31" s="528" t="s">
        <v>773</v>
      </c>
      <c r="B31" s="1029" t="str">
        <f>(IF(ISBLANK(D30),"","Enter Lease Details"))</f>
        <v/>
      </c>
      <c r="C31" s="1048"/>
      <c r="D31" s="1048"/>
      <c r="E31" s="1029" t="str">
        <f>(IF(ISBLANK(G30),"","Enter Lease Details"))</f>
        <v/>
      </c>
      <c r="F31" s="1030"/>
      <c r="G31" s="1030"/>
      <c r="H31" s="1029" t="str">
        <f>(IF(ISBLANK(J30),"","Enter Lease Details"))</f>
        <v/>
      </c>
      <c r="I31" s="1030"/>
      <c r="J31" s="1030"/>
      <c r="K31" s="1029" t="str">
        <f>(IF(ISBLANK(M30),"","Enter Lease Details"))</f>
        <v/>
      </c>
      <c r="L31" s="1030"/>
      <c r="M31" s="1030"/>
      <c r="N31" s="1029" t="str">
        <f>(IF(ISBLANK(P30),"","Enter Lease Details"))</f>
        <v/>
      </c>
      <c r="O31" s="1030"/>
      <c r="P31" s="1030"/>
      <c r="Q31" s="1029" t="str">
        <f>(IF(ISBLANK(S30),"","Enter Lease Details"))</f>
        <v/>
      </c>
      <c r="R31" s="1030"/>
      <c r="S31" s="1034"/>
      <c r="T31" s="929" t="s">
        <v>752</v>
      </c>
      <c r="U31" s="875"/>
      <c r="V31" s="875"/>
      <c r="W31" s="875"/>
    </row>
    <row r="32" spans="1:23" ht="24.95" customHeight="1" x14ac:dyDescent="0.2">
      <c r="A32" s="1042" t="s">
        <v>667</v>
      </c>
      <c r="B32" s="1044" t="s">
        <v>265</v>
      </c>
      <c r="C32" s="1045"/>
      <c r="D32" s="246" t="s">
        <v>266</v>
      </c>
      <c r="E32" s="1057" t="s">
        <v>265</v>
      </c>
      <c r="F32" s="1016"/>
      <c r="G32" s="243" t="s">
        <v>266</v>
      </c>
      <c r="H32" s="1015" t="s">
        <v>265</v>
      </c>
      <c r="I32" s="1016"/>
      <c r="J32" s="243" t="s">
        <v>266</v>
      </c>
      <c r="K32" s="1015" t="s">
        <v>265</v>
      </c>
      <c r="L32" s="1016"/>
      <c r="M32" s="243" t="s">
        <v>266</v>
      </c>
      <c r="N32" s="1015" t="s">
        <v>265</v>
      </c>
      <c r="O32" s="1016"/>
      <c r="P32" s="247" t="s">
        <v>266</v>
      </c>
      <c r="Q32" s="1015" t="s">
        <v>265</v>
      </c>
      <c r="R32" s="1016"/>
      <c r="S32" s="243" t="s">
        <v>266</v>
      </c>
      <c r="T32" s="929" t="s">
        <v>752</v>
      </c>
      <c r="U32" s="928"/>
      <c r="V32" s="928"/>
      <c r="W32" s="928"/>
    </row>
    <row r="33" spans="1:23" ht="24.95" customHeight="1" thickBot="1" x14ac:dyDescent="0.25">
      <c r="A33" s="1043"/>
      <c r="B33" s="1046"/>
      <c r="C33" s="1047"/>
      <c r="D33" s="248"/>
      <c r="E33" s="1017"/>
      <c r="F33" s="1018"/>
      <c r="G33" s="249"/>
      <c r="H33" s="1017"/>
      <c r="I33" s="1018"/>
      <c r="J33" s="249"/>
      <c r="K33" s="1017"/>
      <c r="L33" s="1018"/>
      <c r="M33" s="249"/>
      <c r="N33" s="1017"/>
      <c r="O33" s="1018"/>
      <c r="P33" s="250"/>
      <c r="Q33" s="1033"/>
      <c r="R33" s="1018"/>
      <c r="S33" s="249"/>
      <c r="T33" s="929" t="s">
        <v>752</v>
      </c>
      <c r="U33" s="928"/>
      <c r="V33" s="928"/>
      <c r="W33" s="928"/>
    </row>
    <row r="34" spans="1:23" s="143" customFormat="1" ht="18" customHeight="1" x14ac:dyDescent="0.2">
      <c r="A34" s="519" t="s">
        <v>773</v>
      </c>
      <c r="B34" s="1035" t="str">
        <f>(IF(ISBLANK(B33),"","Enter Lease Details"))</f>
        <v/>
      </c>
      <c r="C34" s="1040"/>
      <c r="D34" s="1040"/>
      <c r="E34" s="1035" t="str">
        <f>(IF(ISBLANK(E33),"","Enter Lease Details"))</f>
        <v/>
      </c>
      <c r="F34" s="1036"/>
      <c r="G34" s="1036"/>
      <c r="H34" s="1035" t="str">
        <f>(IF(ISBLANK(H33),"","Enter Lease Details"))</f>
        <v/>
      </c>
      <c r="I34" s="1036"/>
      <c r="J34" s="1036"/>
      <c r="K34" s="1035" t="str">
        <f>(IF(ISBLANK(K33),"","Enter Lease Details"))</f>
        <v/>
      </c>
      <c r="L34" s="1036"/>
      <c r="M34" s="1036"/>
      <c r="N34" s="1035" t="str">
        <f>(IF(ISBLANK(N33),"","Enter Lease Details"))</f>
        <v/>
      </c>
      <c r="O34" s="1036"/>
      <c r="P34" s="1036"/>
      <c r="Q34" s="1035" t="str">
        <f>(IF(ISBLANK(Q33),"","Enter Lease Details"))</f>
        <v/>
      </c>
      <c r="R34" s="1036"/>
      <c r="S34" s="1036"/>
      <c r="T34" s="875" t="s">
        <v>752</v>
      </c>
      <c r="U34" s="875"/>
      <c r="V34" s="875"/>
      <c r="W34" s="875"/>
    </row>
    <row r="35" spans="1:23" s="143" customFormat="1" ht="6" customHeight="1" x14ac:dyDescent="0.2">
      <c r="A35" s="690" t="s">
        <v>757</v>
      </c>
      <c r="B35" s="690"/>
      <c r="C35" s="690"/>
      <c r="D35" s="690"/>
      <c r="E35" s="690"/>
      <c r="F35" s="690"/>
      <c r="G35" s="690"/>
      <c r="H35" s="690"/>
      <c r="I35" s="690"/>
      <c r="J35" s="690"/>
      <c r="K35" s="690"/>
      <c r="L35" s="690"/>
      <c r="M35" s="690"/>
      <c r="N35" s="690"/>
      <c r="O35" s="690"/>
      <c r="P35" s="690"/>
      <c r="Q35" s="690"/>
      <c r="R35" s="690"/>
      <c r="S35" s="690"/>
      <c r="T35" s="690"/>
      <c r="U35" s="690"/>
      <c r="V35" s="690"/>
      <c r="W35" s="690"/>
    </row>
    <row r="36" spans="1:23" s="143" customFormat="1" ht="24.95" hidden="1" customHeight="1" x14ac:dyDescent="0.2">
      <c r="A36" s="251"/>
      <c r="B36" s="151"/>
      <c r="C36" s="151"/>
      <c r="D36" s="151"/>
      <c r="E36" s="151"/>
      <c r="F36" s="151"/>
      <c r="G36" s="151"/>
      <c r="H36" s="151"/>
      <c r="I36" s="151"/>
      <c r="J36" s="151"/>
      <c r="K36" s="151"/>
      <c r="L36" s="151"/>
      <c r="M36" s="151"/>
      <c r="N36" s="151"/>
      <c r="O36" s="151"/>
      <c r="P36" s="151"/>
      <c r="Q36" s="151"/>
      <c r="R36" s="151"/>
      <c r="S36" s="151"/>
      <c r="T36" s="384"/>
      <c r="U36" s="384"/>
      <c r="V36" s="384"/>
      <c r="W36" s="384"/>
    </row>
    <row r="37" spans="1:23" s="143" customFormat="1" ht="24.95" hidden="1" customHeight="1" x14ac:dyDescent="0.2">
      <c r="A37" s="251"/>
      <c r="B37" s="151"/>
      <c r="C37" s="151"/>
      <c r="D37" s="151"/>
      <c r="E37" s="151"/>
      <c r="F37" s="151"/>
      <c r="G37" s="151"/>
      <c r="H37" s="151"/>
      <c r="I37" s="151"/>
      <c r="J37" s="151"/>
      <c r="K37" s="151"/>
      <c r="L37" s="151"/>
      <c r="M37" s="151"/>
      <c r="N37" s="151"/>
      <c r="O37" s="151"/>
      <c r="P37" s="151"/>
      <c r="Q37" s="151"/>
      <c r="R37" s="151"/>
      <c r="S37" s="151"/>
      <c r="T37" s="384"/>
      <c r="U37" s="384"/>
      <c r="V37" s="384"/>
      <c r="W37" s="384"/>
    </row>
    <row r="38" spans="1:23" s="143" customFormat="1" ht="24.95" hidden="1" customHeight="1" x14ac:dyDescent="0.2">
      <c r="A38" s="251"/>
      <c r="B38" s="151"/>
      <c r="C38" s="151"/>
      <c r="D38" s="151"/>
      <c r="E38" s="151"/>
      <c r="F38" s="151"/>
      <c r="G38" s="151"/>
      <c r="H38" s="151"/>
      <c r="I38" s="151"/>
      <c r="J38" s="151"/>
      <c r="K38" s="151"/>
      <c r="L38" s="151"/>
      <c r="M38" s="151"/>
      <c r="N38" s="151"/>
      <c r="O38" s="151"/>
      <c r="P38" s="151"/>
      <c r="Q38" s="151"/>
      <c r="R38" s="151"/>
      <c r="S38" s="151"/>
      <c r="T38" s="384"/>
      <c r="U38" s="384"/>
      <c r="V38" s="384"/>
      <c r="W38" s="384"/>
    </row>
    <row r="39" spans="1:23" s="143" customFormat="1" ht="24.95" hidden="1" customHeight="1" x14ac:dyDescent="0.2">
      <c r="T39" s="384"/>
      <c r="U39" s="384"/>
      <c r="V39" s="384"/>
      <c r="W39" s="384"/>
    </row>
    <row r="40" spans="1:23" s="143" customFormat="1" ht="24.95" hidden="1" customHeight="1" x14ac:dyDescent="0.2">
      <c r="T40" s="384"/>
      <c r="U40" s="384"/>
      <c r="V40" s="384"/>
      <c r="W40" s="384"/>
    </row>
    <row r="41" spans="1:23" s="143" customFormat="1" ht="24.95" hidden="1" customHeight="1" x14ac:dyDescent="0.2">
      <c r="T41" s="384"/>
      <c r="U41" s="384"/>
      <c r="V41" s="384"/>
      <c r="W41" s="384"/>
    </row>
    <row r="42" spans="1:23" s="143" customFormat="1" ht="24.95" hidden="1" customHeight="1" x14ac:dyDescent="0.2">
      <c r="T42" s="384"/>
      <c r="U42" s="384"/>
      <c r="V42" s="384"/>
      <c r="W42" s="384"/>
    </row>
    <row r="43" spans="1:23" s="143" customFormat="1" ht="24.95" hidden="1" customHeight="1" x14ac:dyDescent="0.2">
      <c r="T43" s="384"/>
      <c r="U43" s="384"/>
      <c r="V43" s="384"/>
      <c r="W43" s="384"/>
    </row>
    <row r="44" spans="1:23" s="143" customFormat="1" ht="24.95" hidden="1" customHeight="1" x14ac:dyDescent="0.2">
      <c r="T44" s="384"/>
      <c r="U44" s="384"/>
      <c r="V44" s="384"/>
      <c r="W44" s="384"/>
    </row>
    <row r="45" spans="1:23" s="143" customFormat="1" ht="24.95" hidden="1" customHeight="1" x14ac:dyDescent="0.2">
      <c r="T45" s="384"/>
      <c r="U45" s="384"/>
      <c r="V45" s="384"/>
      <c r="W45" s="384"/>
    </row>
    <row r="46" spans="1:23" s="143" customFormat="1" ht="24.95" hidden="1" customHeight="1" x14ac:dyDescent="0.2">
      <c r="T46" s="384"/>
      <c r="U46" s="384"/>
      <c r="V46" s="384"/>
      <c r="W46" s="384"/>
    </row>
  </sheetData>
  <sheetProtection sheet="1" objects="1" scenarios="1"/>
  <mergeCells count="191">
    <mergeCell ref="K28:M28"/>
    <mergeCell ref="H32:I32"/>
    <mergeCell ref="H33:I33"/>
    <mergeCell ref="H31:J31"/>
    <mergeCell ref="E33:F33"/>
    <mergeCell ref="I10:J10"/>
    <mergeCell ref="L10:M10"/>
    <mergeCell ref="I9:J9"/>
    <mergeCell ref="L9:M9"/>
    <mergeCell ref="F12:G12"/>
    <mergeCell ref="I12:J12"/>
    <mergeCell ref="L12:M12"/>
    <mergeCell ref="K25:M25"/>
    <mergeCell ref="H29:I29"/>
    <mergeCell ref="R9:S9"/>
    <mergeCell ref="H23:J23"/>
    <mergeCell ref="A21:M21"/>
    <mergeCell ref="C14:D14"/>
    <mergeCell ref="F14:G14"/>
    <mergeCell ref="C9:D9"/>
    <mergeCell ref="F9:G9"/>
    <mergeCell ref="C10:D10"/>
    <mergeCell ref="I11:J11"/>
    <mergeCell ref="L11:M11"/>
    <mergeCell ref="F11:G11"/>
    <mergeCell ref="C13:D13"/>
    <mergeCell ref="F13:G13"/>
    <mergeCell ref="C15:D15"/>
    <mergeCell ref="F15:G15"/>
    <mergeCell ref="I15:J15"/>
    <mergeCell ref="L15:M15"/>
    <mergeCell ref="R12:S12"/>
    <mergeCell ref="O14:P14"/>
    <mergeCell ref="R14:S14"/>
    <mergeCell ref="R13:S13"/>
    <mergeCell ref="O13:P13"/>
    <mergeCell ref="L13:M13"/>
    <mergeCell ref="C12:D12"/>
    <mergeCell ref="A1:S1"/>
    <mergeCell ref="A3:S3"/>
    <mergeCell ref="A2:H2"/>
    <mergeCell ref="K4:M4"/>
    <mergeCell ref="N4:P4"/>
    <mergeCell ref="C11:D11"/>
    <mergeCell ref="H4:J4"/>
    <mergeCell ref="E4:G4"/>
    <mergeCell ref="B4:D4"/>
    <mergeCell ref="R6:S6"/>
    <mergeCell ref="I7:J7"/>
    <mergeCell ref="L7:M7"/>
    <mergeCell ref="I6:J6"/>
    <mergeCell ref="L6:M6"/>
    <mergeCell ref="O7:P7"/>
    <mergeCell ref="F10:G10"/>
    <mergeCell ref="R7:S7"/>
    <mergeCell ref="O8:P8"/>
    <mergeCell ref="N2:S2"/>
    <mergeCell ref="Q4:S4"/>
    <mergeCell ref="L5:M5"/>
    <mergeCell ref="C8:D8"/>
    <mergeCell ref="I8:J8"/>
    <mergeCell ref="L8:M8"/>
    <mergeCell ref="C5:D5"/>
    <mergeCell ref="F5:G5"/>
    <mergeCell ref="O6:P6"/>
    <mergeCell ref="F7:G7"/>
    <mergeCell ref="C6:D6"/>
    <mergeCell ref="F6:G6"/>
    <mergeCell ref="I5:J5"/>
    <mergeCell ref="C7:D7"/>
    <mergeCell ref="F8:G8"/>
    <mergeCell ref="D16:D18"/>
    <mergeCell ref="G16:G18"/>
    <mergeCell ref="J16:J18"/>
    <mergeCell ref="M16:M18"/>
    <mergeCell ref="I19:J19"/>
    <mergeCell ref="L19:M19"/>
    <mergeCell ref="E32:F32"/>
    <mergeCell ref="C19:D19"/>
    <mergeCell ref="F19:G19"/>
    <mergeCell ref="C24:D24"/>
    <mergeCell ref="F24:G24"/>
    <mergeCell ref="B23:D23"/>
    <mergeCell ref="E23:G23"/>
    <mergeCell ref="A22:S22"/>
    <mergeCell ref="O19:P19"/>
    <mergeCell ref="R19:S19"/>
    <mergeCell ref="P16:P18"/>
    <mergeCell ref="S16:S18"/>
    <mergeCell ref="N21:S21"/>
    <mergeCell ref="A26:M26"/>
    <mergeCell ref="N26:S26"/>
    <mergeCell ref="B28:D28"/>
    <mergeCell ref="H25:J25"/>
    <mergeCell ref="N25:P25"/>
    <mergeCell ref="E34:G34"/>
    <mergeCell ref="H34:J34"/>
    <mergeCell ref="K34:M34"/>
    <mergeCell ref="N34:P34"/>
    <mergeCell ref="Q34:S34"/>
    <mergeCell ref="R24:S24"/>
    <mergeCell ref="A27:S27"/>
    <mergeCell ref="E29:F29"/>
    <mergeCell ref="E30:F30"/>
    <mergeCell ref="B34:D34"/>
    <mergeCell ref="B25:D25"/>
    <mergeCell ref="E31:G31"/>
    <mergeCell ref="A32:A33"/>
    <mergeCell ref="B32:C32"/>
    <mergeCell ref="B33:C33"/>
    <mergeCell ref="B31:D31"/>
    <mergeCell ref="E25:G25"/>
    <mergeCell ref="A29:A30"/>
    <mergeCell ref="B29:C29"/>
    <mergeCell ref="B30:C30"/>
    <mergeCell ref="K29:L29"/>
    <mergeCell ref="K30:L30"/>
    <mergeCell ref="E28:G28"/>
    <mergeCell ref="H30:I30"/>
    <mergeCell ref="R10:S10"/>
    <mergeCell ref="N30:O30"/>
    <mergeCell ref="N32:O32"/>
    <mergeCell ref="N33:O33"/>
    <mergeCell ref="Q23:S23"/>
    <mergeCell ref="Q25:S25"/>
    <mergeCell ref="Q28:S28"/>
    <mergeCell ref="N28:P28"/>
    <mergeCell ref="I24:J24"/>
    <mergeCell ref="L24:M24"/>
    <mergeCell ref="O24:P24"/>
    <mergeCell ref="K23:M23"/>
    <mergeCell ref="N23:P23"/>
    <mergeCell ref="H28:J28"/>
    <mergeCell ref="N31:P31"/>
    <mergeCell ref="N29:O29"/>
    <mergeCell ref="K32:L32"/>
    <mergeCell ref="K33:L33"/>
    <mergeCell ref="K31:M31"/>
    <mergeCell ref="Q29:R29"/>
    <mergeCell ref="Q30:R30"/>
    <mergeCell ref="Q32:R32"/>
    <mergeCell ref="Q33:R33"/>
    <mergeCell ref="Q31:S31"/>
    <mergeCell ref="T14:W14"/>
    <mergeCell ref="T19:W19"/>
    <mergeCell ref="I2:K2"/>
    <mergeCell ref="L2:M2"/>
    <mergeCell ref="T2:W2"/>
    <mergeCell ref="T3:W3"/>
    <mergeCell ref="T4:W4"/>
    <mergeCell ref="T5:W5"/>
    <mergeCell ref="T6:W6"/>
    <mergeCell ref="T7:W7"/>
    <mergeCell ref="T15:W18"/>
    <mergeCell ref="I13:J13"/>
    <mergeCell ref="O15:P15"/>
    <mergeCell ref="R15:S15"/>
    <mergeCell ref="I14:J14"/>
    <mergeCell ref="L14:M14"/>
    <mergeCell ref="O12:P12"/>
    <mergeCell ref="O5:P5"/>
    <mergeCell ref="R5:S5"/>
    <mergeCell ref="R8:S8"/>
    <mergeCell ref="R11:S11"/>
    <mergeCell ref="O9:P9"/>
    <mergeCell ref="O10:P10"/>
    <mergeCell ref="O11:P11"/>
    <mergeCell ref="A35:W35"/>
    <mergeCell ref="T30:W30"/>
    <mergeCell ref="T31:W31"/>
    <mergeCell ref="T32:W32"/>
    <mergeCell ref="T33:W33"/>
    <mergeCell ref="T34:W34"/>
    <mergeCell ref="T1:W1"/>
    <mergeCell ref="B20:S20"/>
    <mergeCell ref="T20:W20"/>
    <mergeCell ref="T21:W21"/>
    <mergeCell ref="T22:W22"/>
    <mergeCell ref="T23:W23"/>
    <mergeCell ref="T24:W24"/>
    <mergeCell ref="T25:W25"/>
    <mergeCell ref="T26:W26"/>
    <mergeCell ref="T27:W27"/>
    <mergeCell ref="T28:W28"/>
    <mergeCell ref="T29:W29"/>
    <mergeCell ref="T8:W8"/>
    <mergeCell ref="T9:W9"/>
    <mergeCell ref="T10:W10"/>
    <mergeCell ref="T11:W11"/>
    <mergeCell ref="T12:W12"/>
    <mergeCell ref="T13:W13"/>
  </mergeCells>
  <phoneticPr fontId="6" type="noConversion"/>
  <conditionalFormatting sqref="B33:D33">
    <cfRule type="expression" dxfId="76" priority="1" stopIfTrue="1">
      <formula>IF(ISBLANK($D$30),FALSE,TRUE)</formula>
    </cfRule>
  </conditionalFormatting>
  <conditionalFormatting sqref="E33:G33">
    <cfRule type="expression" dxfId="75" priority="2" stopIfTrue="1">
      <formula>IF(ISBLANK($G$30),FALSE,TRUE)</formula>
    </cfRule>
  </conditionalFormatting>
  <conditionalFormatting sqref="H33:J33">
    <cfRule type="expression" dxfId="74" priority="3" stopIfTrue="1">
      <formula>IF(ISBLANK($J$30),FALSE,TRUE)</formula>
    </cfRule>
  </conditionalFormatting>
  <conditionalFormatting sqref="K33:M33">
    <cfRule type="expression" dxfId="73" priority="4" stopIfTrue="1">
      <formula>IF(ISBLANK($M$30),FALSE,TRUE)</formula>
    </cfRule>
  </conditionalFormatting>
  <conditionalFormatting sqref="N33:P33">
    <cfRule type="expression" dxfId="72" priority="5" stopIfTrue="1">
      <formula>IF(ISBLANK($P$30),FALSE,TRUE)</formula>
    </cfRule>
  </conditionalFormatting>
  <conditionalFormatting sqref="Q33:S33">
    <cfRule type="expression" dxfId="71" priority="6" stopIfTrue="1">
      <formula>IF(ISBLANK($S$30),FALSE,TRUE)</formula>
    </cfRule>
  </conditionalFormatting>
  <hyperlinks>
    <hyperlink ref="A2:C2" location="def_fixed" display="Section 1: Utilization - Fixed Equipment" xr:uid="{00000000-0004-0000-0800-000000000000}"/>
    <hyperlink ref="B34" location="lease_detail" display="lease_detail" xr:uid="{00000000-0004-0000-0800-000001000000}"/>
    <hyperlink ref="E34" location="lease_detail" display="lease_detail" xr:uid="{00000000-0004-0000-0800-000002000000}"/>
    <hyperlink ref="H34" location="lease_detail" display="lease_detail" xr:uid="{00000000-0004-0000-0800-000003000000}"/>
    <hyperlink ref="K34" location="lease_detail" display="lease_detail" xr:uid="{00000000-0004-0000-0800-000004000000}"/>
    <hyperlink ref="N34" location="lease_detail" display="lease_detail" xr:uid="{00000000-0004-0000-0800-000005000000}"/>
    <hyperlink ref="Q34" location="lease_detail" display="lease_detail" xr:uid="{00000000-0004-0000-0800-000006000000}"/>
    <hyperlink ref="E31" location="lease_detail" display="lease_detail" xr:uid="{00000000-0004-0000-0800-000007000000}"/>
    <hyperlink ref="B31" location="lease_detail" display="lease_detail" xr:uid="{00000000-0004-0000-0800-000008000000}"/>
    <hyperlink ref="H31" location="lease_detail" display="lease_detail" xr:uid="{00000000-0004-0000-0800-000009000000}"/>
    <hyperlink ref="K31" location="lease_detail" display="lease_detail" xr:uid="{00000000-0004-0000-0800-00000A000000}"/>
    <hyperlink ref="N31" location="lease_detail" display="lease_detail" xr:uid="{00000000-0004-0000-0800-00000B000000}"/>
    <hyperlink ref="Q31" location="lease_detail" display="lease_detail" xr:uid="{00000000-0004-0000-0800-00000C000000}"/>
    <hyperlink ref="N21:S21" location="text_02" display="Document Explanations if needed" xr:uid="{00000000-0004-0000-0800-00000D000000}"/>
    <hyperlink ref="N2:S2" location="text_01" display="Document Explanations if needed" xr:uid="{00000000-0004-0000-0800-00000E000000}"/>
    <hyperlink ref="N26:S26" location="text_03" display="Document Explanations if needed" xr:uid="{00000000-0004-0000-0800-00000F000000}"/>
  </hyperlinks>
  <printOptions horizontalCentered="1"/>
  <pageMargins left="0.75" right="0.75" top="1" bottom="1" header="0.5" footer="0.5"/>
  <pageSetup scale="51" orientation="portrait" r:id="rId1"/>
  <headerFooter alignWithMargins="0">
    <oddFooter>&amp;L&amp;"Calibri,Regular"Diagnostic Imaging Facility Utilization Report
Fiscal Year 2024
&amp;C&amp;"Calibri,Regular"&amp;P of &amp;N&amp;R&amp;"Calibri,Regular"Minnesota Department of Health
Phone 651-201-3572
health.hccis@state.mn.us</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125</vt:i4>
      </vt:variant>
    </vt:vector>
  </HeadingPairs>
  <TitlesOfParts>
    <vt:vector size="144" baseType="lpstr">
      <vt:lpstr>demog check</vt:lpstr>
      <vt:lpstr>accred check</vt:lpstr>
      <vt:lpstr>load script</vt:lpstr>
      <vt:lpstr>Tip_Sheet</vt:lpstr>
      <vt:lpstr>Demog Contact</vt:lpstr>
      <vt:lpstr>Demog Contact (2)</vt:lpstr>
      <vt:lpstr>AccredExpl</vt:lpstr>
      <vt:lpstr>Accred (2)</vt:lpstr>
      <vt:lpstr>Fixed Equip</vt:lpstr>
      <vt:lpstr>Portable Equip</vt:lpstr>
      <vt:lpstr>Mobile Equip</vt:lpstr>
      <vt:lpstr>Leased Equip</vt:lpstr>
      <vt:lpstr>Mobile Locations</vt:lpstr>
      <vt:lpstr>Economic Interest</vt:lpstr>
      <vt:lpstr>Capital Expenditures</vt:lpstr>
      <vt:lpstr>Capital Expend Project Specific</vt:lpstr>
      <vt:lpstr>Definitions</vt:lpstr>
      <vt:lpstr>HCCIS_ID</vt:lpstr>
      <vt:lpstr>CapExpData</vt:lpstr>
      <vt:lpstr>accreditation</vt:lpstr>
      <vt:lpstr>cap_exp_contact</vt:lpstr>
      <vt:lpstr>cap_exp_errors</vt:lpstr>
      <vt:lpstr>code_7594</vt:lpstr>
      <vt:lpstr>code_7595</vt:lpstr>
      <vt:lpstr>code_7596</vt:lpstr>
      <vt:lpstr>def_cap_exp</vt:lpstr>
      <vt:lpstr>def_date_spend_commit</vt:lpstr>
      <vt:lpstr>def_econ_interest</vt:lpstr>
      <vt:lpstr>def_exceptions</vt:lpstr>
      <vt:lpstr>def_fixed</vt:lpstr>
      <vt:lpstr>def_mobile</vt:lpstr>
      <vt:lpstr>def_portable</vt:lpstr>
      <vt:lpstr>def_prov_di</vt:lpstr>
      <vt:lpstr>definitions</vt:lpstr>
      <vt:lpstr>defs_NPI</vt:lpstr>
      <vt:lpstr>demograpic</vt:lpstr>
      <vt:lpstr>economic_interest</vt:lpstr>
      <vt:lpstr>find_lease_entity</vt:lpstr>
      <vt:lpstr>fixed</vt:lpstr>
      <vt:lpstr>HCCIS_ID_list</vt:lpstr>
      <vt:lpstr>ID_list</vt:lpstr>
      <vt:lpstr>lease_detail</vt:lpstr>
      <vt:lpstr>lease_id</vt:lpstr>
      <vt:lpstr>lease_id_list</vt:lpstr>
      <vt:lpstr>mobile</vt:lpstr>
      <vt:lpstr>mobile_locations</vt:lpstr>
      <vt:lpstr>NPI</vt:lpstr>
      <vt:lpstr>portable</vt:lpstr>
      <vt:lpstr>'accred check'!Print_Area</vt:lpstr>
      <vt:lpstr>AccredExpl!Print_Area</vt:lpstr>
      <vt:lpstr>'Capital Expend Project Specific'!Print_Area</vt:lpstr>
      <vt:lpstr>'Capital Expenditures'!Print_Area</vt:lpstr>
      <vt:lpstr>Definitions!Print_Area</vt:lpstr>
      <vt:lpstr>'demog check'!Print_Area</vt:lpstr>
      <vt:lpstr>'Demog Contact'!Print_Area</vt:lpstr>
      <vt:lpstr>'Demog Contact (2)'!Print_Area</vt:lpstr>
      <vt:lpstr>'Economic Interest'!Print_Area</vt:lpstr>
      <vt:lpstr>'Fixed Equip'!Print_Area</vt:lpstr>
      <vt:lpstr>HCCIS_ID!Print_Area</vt:lpstr>
      <vt:lpstr>'Leased Equip'!Print_Area</vt:lpstr>
      <vt:lpstr>'Mobile Equip'!Print_Area</vt:lpstr>
      <vt:lpstr>'Mobile Locations'!Print_Area</vt:lpstr>
      <vt:lpstr>'Portable Equip'!Print_Area</vt:lpstr>
      <vt:lpstr>Tip_Sheet!Print_Area</vt:lpstr>
      <vt:lpstr>HCCIS_ID!Print_Titles</vt:lpstr>
      <vt:lpstr>Section_13</vt:lpstr>
      <vt:lpstr>Section_14</vt:lpstr>
      <vt:lpstr>'Capital Expend Project Specific'!Section_15</vt:lpstr>
      <vt:lpstr>Section_2</vt:lpstr>
      <vt:lpstr>Section_3</vt:lpstr>
      <vt:lpstr>Section_5</vt:lpstr>
      <vt:lpstr>Section_6</vt:lpstr>
      <vt:lpstr>Section_8</vt:lpstr>
      <vt:lpstr>Section_9</vt:lpstr>
      <vt:lpstr>start</vt:lpstr>
      <vt:lpstr>text_01</vt:lpstr>
      <vt:lpstr>text_02</vt:lpstr>
      <vt:lpstr>text_03</vt:lpstr>
      <vt:lpstr>text_04</vt:lpstr>
      <vt:lpstr>text_05</vt:lpstr>
      <vt:lpstr>text_06</vt:lpstr>
      <vt:lpstr>text_07</vt:lpstr>
      <vt:lpstr>text_08</vt:lpstr>
      <vt:lpstr>text_09</vt:lpstr>
      <vt:lpstr>text_10</vt:lpstr>
      <vt:lpstr>text_11</vt:lpstr>
      <vt:lpstr>text_12</vt:lpstr>
      <vt:lpstr>text_13</vt:lpstr>
      <vt:lpstr>text_14</vt:lpstr>
      <vt:lpstr>text_15</vt:lpstr>
      <vt:lpstr>text_accred</vt:lpstr>
      <vt:lpstr>TitleRegion1.a1.c22.12</vt:lpstr>
      <vt:lpstr>TitleRegion1.a1.c345.13</vt:lpstr>
      <vt:lpstr>TitleRegion1.a1.k16.1</vt:lpstr>
      <vt:lpstr>TitleRegion1.a1.o24.2</vt:lpstr>
      <vt:lpstr>TitleRegion1.a1.r46.11</vt:lpstr>
      <vt:lpstr>TitleRegion1.a2.n18.3</vt:lpstr>
      <vt:lpstr>TitleRegion1.a2.p8.10</vt:lpstr>
      <vt:lpstr>TitleRegion1.a2.w20.4</vt:lpstr>
      <vt:lpstr>TitleRegion1.a2.w20.5</vt:lpstr>
      <vt:lpstr>TitleRegion1.a2.w20.6</vt:lpstr>
      <vt:lpstr>TitleRegion1.a2.w49.7</vt:lpstr>
      <vt:lpstr>TitleRegion1.c2.h39.9</vt:lpstr>
      <vt:lpstr>TitleRegion1.e2.v49.8</vt:lpstr>
      <vt:lpstr>TitleRegion10.a391.r433.11</vt:lpstr>
      <vt:lpstr>TitleRegion11.a434.r476.11</vt:lpstr>
      <vt:lpstr>TitleRegion12.a477.r520.11</vt:lpstr>
      <vt:lpstr>TitleRegion2.a20.n39.3</vt:lpstr>
      <vt:lpstr>TitleRegion2.a21.w24.5</vt:lpstr>
      <vt:lpstr>TitleRegion2.a21.w25.4</vt:lpstr>
      <vt:lpstr>TitleRegion2.a21.w25.6</vt:lpstr>
      <vt:lpstr>TitleRegion2.a25.o31.2</vt:lpstr>
      <vt:lpstr>TitleRegion2.a47.r89.11</vt:lpstr>
      <vt:lpstr>TitleRegion2.a9.p27.10</vt:lpstr>
      <vt:lpstr>TitleRegion2.ev1.fb666.13</vt:lpstr>
      <vt:lpstr>TitleRegion3.a26.w35.4</vt:lpstr>
      <vt:lpstr>TitleRegion3.a26.w35.5</vt:lpstr>
      <vt:lpstr>TitleRegion3.a26.w36.6</vt:lpstr>
      <vt:lpstr>TitleRegion3.a33.o66.2</vt:lpstr>
      <vt:lpstr>TitleRegion3.a90.r132.11</vt:lpstr>
      <vt:lpstr>TitleRegion4.a133.r175.11</vt:lpstr>
      <vt:lpstr>TitleRegion5.a176.r218.11</vt:lpstr>
      <vt:lpstr>TitleRegion6.a219.r261.11</vt:lpstr>
      <vt:lpstr>TitleRegion7.a262.r304.11</vt:lpstr>
      <vt:lpstr>TitleRegion8.a305.ar347.11</vt:lpstr>
      <vt:lpstr>TitleRegion9.a348.r390.11</vt:lpstr>
      <vt:lpstr>ValidCapacity</vt:lpstr>
      <vt:lpstr>ValidEvidence</vt:lpstr>
      <vt:lpstr>ValidImpact</vt:lpstr>
      <vt:lpstr>ValidPriorCap</vt:lpstr>
      <vt:lpstr>ValidProjType</vt:lpstr>
      <vt:lpstr>ValidRemote</vt:lpstr>
      <vt:lpstr>ValidSubtype1</vt:lpstr>
      <vt:lpstr>ValidSubtype2</vt:lpstr>
      <vt:lpstr>ValidSubtype3</vt:lpstr>
      <vt:lpstr>VCapacity</vt:lpstr>
      <vt:lpstr>VEvidence</vt:lpstr>
      <vt:lpstr>VImpact</vt:lpstr>
      <vt:lpstr>VPriorCap</vt:lpstr>
      <vt:lpstr>VProjType</vt:lpstr>
      <vt:lpstr>VRemote</vt:lpstr>
      <vt:lpstr>VSubtype1</vt:lpstr>
      <vt:lpstr>VSubtype2</vt:lpstr>
      <vt:lpstr>VSubtype3</vt:lpstr>
    </vt:vector>
  </TitlesOfParts>
  <Company>Minnesota Department of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2024 Diagnostic Imaging Facility Utilization Report</dc:title>
  <dc:subject>Diagnostic Imaging Utilization</dc:subject>
  <dc:creator>Health Economics Program;health.hccis@state.mn.us</dc:creator>
  <cp:keywords>HCCIS, DI</cp:keywords>
  <cp:lastModifiedBy>Foster, Morgan (MDH)</cp:lastModifiedBy>
  <cp:lastPrinted>2023-09-13T19:15:02Z</cp:lastPrinted>
  <dcterms:created xsi:type="dcterms:W3CDTF">2004-01-02T18:03:57Z</dcterms:created>
  <dcterms:modified xsi:type="dcterms:W3CDTF">2024-12-03T19:36:45Z</dcterms:modified>
</cp:coreProperties>
</file>